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2\ANUAL\"/>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C59" i="7" s="1"/>
  <c r="B49" i="7"/>
  <c r="B48" i="7" s="1"/>
  <c r="B59" i="7" s="1"/>
  <c r="C41" i="7"/>
  <c r="B41" i="7"/>
  <c r="C36" i="7"/>
  <c r="C45" i="7" s="1"/>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E16" i="9" l="1"/>
  <c r="D16" i="9"/>
  <c r="B3" i="8"/>
  <c r="C3" i="8"/>
  <c r="D3" i="8"/>
  <c r="E12" i="8"/>
  <c r="E4" i="8"/>
  <c r="F5" i="8"/>
  <c r="B45" i="7"/>
  <c r="B33" i="7"/>
  <c r="C33" i="7"/>
  <c r="B43" i="6"/>
  <c r="C43" i="6"/>
  <c r="B24" i="6"/>
  <c r="C24" i="6"/>
  <c r="C3" i="6"/>
  <c r="B3" i="6"/>
  <c r="F27" i="5"/>
  <c r="D38" i="5"/>
  <c r="F9" i="5"/>
  <c r="E46" i="4"/>
  <c r="F46" i="4"/>
  <c r="F26" i="4"/>
  <c r="E26" i="4"/>
  <c r="B28" i="4"/>
  <c r="C28" i="4"/>
  <c r="C66" i="3"/>
  <c r="B66" i="3"/>
  <c r="B68" i="3" s="1"/>
  <c r="C24" i="3"/>
  <c r="D3" i="9"/>
  <c r="D34" i="9" s="1"/>
  <c r="E3" i="9"/>
  <c r="E34" i="9" s="1"/>
  <c r="F4" i="8"/>
  <c r="F12" i="8"/>
  <c r="B61" i="7"/>
  <c r="C61" i="7"/>
  <c r="B38" i="5"/>
  <c r="E20" i="5"/>
  <c r="E38" i="5" s="1"/>
  <c r="F4" i="5"/>
  <c r="C20" i="5"/>
  <c r="C38" i="5" s="1"/>
  <c r="E3" i="8" l="1"/>
  <c r="F48" i="4"/>
  <c r="E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<sst xmlns="http://schemas.openxmlformats.org/spreadsheetml/2006/main" count="1054" uniqueCount="310">
  <si>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</si>
  <si>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</si>
  <si>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</si>
  <si>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</si>
  <si>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</si>
  <si>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</si>
  <si>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</si>
  <si>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</si>
  <si>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</si>
  <si>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</si>
  <si>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</si>
  <si>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</si>
  <si>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</si>
  <si>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</si>
  <si>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</si>
  <si>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</si>
  <si>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</si>
  <si>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</si>
  <si>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</si>
  <si>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</si>
  <si>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</si>
  <si>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</si>
  <si>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</si>
  <si>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</si>
  <si>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</si>
  <si>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</si>
  <si>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</si>
  <si>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</si>
  <si>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</si>
  <si>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</si>
  <si>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</si>
  <si>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</si>
  <si>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</si>
  <si>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</si>
  <si>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</si>
  <si>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</si>
  <si>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</si>
  <si>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</si>
  <si>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</si>
  <si>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</si>
  <si>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</si>
  <si>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</si>
  <si>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</si>
  <si>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</si>
  <si>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</si>
  <si>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</si>
  <si>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</si>
  <si>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</si>
  <si>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</si>
  <si>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</si>
  <si>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</si>
  <si>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</si>
  <si>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</si>
  <si>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</si>
  <si>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</si>
  <si>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</si>
  <si>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</si>
  <si>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</si>
  <si>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</si>
  <si>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</si>
  <si>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</si>
  <si>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</si>
  <si>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</si>
  <si>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</si>
  <si>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</si>
  <si>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</si>
  <si>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</si>
  <si>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</si>
  <si>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</si>
  <si>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</si>
  <si>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</si>
  <si>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</si>
  <si>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</si>
  <si>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</si>
  <si>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</si>
  <si>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</si>
  <si>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</si>
  <si>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</si>
  <si>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</si>
  <si>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</si>
  <si>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</si>
  <si>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</si>
  <si>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</si>
  <si>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</si>
  <si>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</si>
  <si>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</si>
  <si>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</si>
  <si>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</si>
  <si>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</si>
  <si>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</si>
  <si>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</si>
  <si>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</si>
  <si>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</si>
  <si>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</si>
  <si>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</si>
  <si>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</si>
  <si>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</si>
  <si>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</si>
  <si>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</si>
  <si>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</si>
  <si>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</si>
  <si>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</si>
  <si>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</si>
  <si>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</si>
  <si>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</si>
  <si>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</si>
  <si>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</si>
  <si>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</si>
  <si>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</si>
  <si>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</si>
  <si>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</si>
  <si>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</si>
  <si>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</si>
  <si>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</si>
  <si>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</si>
  <si>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</si>
  <si>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</si>
  <si>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</si>
  <si>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</si>
  <si>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</si>
  <si>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</si>
  <si>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</si>
  <si>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</si>
  <si>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</si>
  <si>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</si>
  <si>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</si>
  <si>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</si>
  <si>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</si>
  <si>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</si>
  <si>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</si>
  <si>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</si>
  <si>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</si>
  <si>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</si>
  <si>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</si>
  <si>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</si>
  <si>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</si>
  <si>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</si>
  <si>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</si>
  <si>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</si>
  <si>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</si>
  <si>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</si>
  <si>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</si>
  <si>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</si>
  <si>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</si>
  <si>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</si>
  <si>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</si>
  <si>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</si>
  <si>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</si>
  <si>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</si>
  <si>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</si>
  <si>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</si>
  <si>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</si>
  <si>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</si>
  <si>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</si>
  <si>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</si>
  <si>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</si>
  <si>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</si>
  <si>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</si>
  <si>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</si>
  <si>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</si>
  <si>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</si>
  <si>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</si>
  <si>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</si>
  <si>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</si>
  <si>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</si>
  <si>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</si>
  <si>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</si>
  <si>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</si>
  <si>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</si>
  <si>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</si>
  <si>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</si>
  <si>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</si>
  <si>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</si>
  <si>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</si>
  <si>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</si>
  <si>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</si>
  <si>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</si>
  <si>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</si>
  <si>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</si>
  <si>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</si>
  <si>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</si>
  <si>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</si>
  <si>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</si>
  <si>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</si>
  <si>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</si>
  <si>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</si>
  <si>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</si>
  <si>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</si>
  <si>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</si>
  <si>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</si>
  <si>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</si>
  <si>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</si>
  <si>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</si>
  <si>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</si>
  <si>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</si>
  <si>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</si>
  <si>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</si>
  <si>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</si>
  <si>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</si>
  <si>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</si>
  <si>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</si>
  <si>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</si>
  <si>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</si>
  <si>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</si>
  <si>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</si>
  <si>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</si>
  <si>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</si>
  <si>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</si>
  <si>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</si>
  <si>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</si>
  <si>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</si>
  <si>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</si>
  <si>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</si>
  <si>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</si>
  <si>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</si>
  <si>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</si>
  <si>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</si>
  <si>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</si>
  <si>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</si>
  <si>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</si>
  <si>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</si>
  <si>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</si>
  <si>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</si>
  <si>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</si>
  <si>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</si>
  <si>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</si>
  <si>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</si>
  <si>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</si>
  <si>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</si>
  <si>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</si>
  <si>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</si>
  <si>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</si>
  <si>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</si>
  <si>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</si>
  <si>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</si>
  <si>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</si>
  <si>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</si>
  <si>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</si>
  <si>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</si>
  <si>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</si>
  <si>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</si>
  <si>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</si>
  <si>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</si>
  <si>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</si>
  <si>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</si>
  <si>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</si>
  <si>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</si>
  <si>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</si>
  <si>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</si>
  <si>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</si>
  <si>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</si>
  <si>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</si>
  <si>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</si>
  <si>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</si>
  <si>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</si>
  <si>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</si>
  <si>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</si>
  <si>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</si>
  <si>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</si>
  <si>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</si>
  <si>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</si>
  <si>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</si>
  <si>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</si>
  <si>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</si>
  <si>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</si>
  <si>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</si>
  <si>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</si>
  <si>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</si>
  <si>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</si>
  <si>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</si>
  <si>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</si>
  <si>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</si>
  <si>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</si>
  <si>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</si>
  <si>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</si>
  <si>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</si>
  <si>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</si>
  <si>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</si>
  <si>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</si>
  <si>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</si>
  <si>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</si>
  <si>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</si>
  <si>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</si>
  <si>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</si>
  <si>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</si>
  <si>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</si>
  <si>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</si>
  <si>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</si>
  <si>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</si>
  <si>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</si>
  <si>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</si>
  <si>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</si>
  <si>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</si>
  <si>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31 de Diciembre de 2022
(Cifras en Pesos)</t>
  </si>
  <si>
    <t>Junta Municipal de Agua Potable y Alcantarillado de Acámbaro, Gto.
Estado de Situación Financiera
Al 31 de Diciembre de 2022
(Cifras en Pesos)</t>
  </si>
  <si>
    <t>Hacienda Pública/Patrimonio Contribuido Neto de 2021</t>
  </si>
  <si>
    <t>Hacienda Pública/Patrimonio Generado Neto de 2021</t>
  </si>
  <si>
    <t>Exceso o Insuficiencia en la Actualización de la Hacienda Pública / Patrimonio Neto de 2021</t>
  </si>
  <si>
    <t>Hacienda Pública/Patrimonio Neto Final de 2021</t>
  </si>
  <si>
    <t>Cambios en la Hacienda Pública/Patrimonio Contribuido Neto de 2022</t>
  </si>
  <si>
    <t>Variaciones de la Hacienda Pública/Patrimonio Generado Neto de 2022</t>
  </si>
  <si>
    <t>Cambios en el Exceso o Insuficiencia en la Actualización de la Hacienda Pública/Patrimonio Neto de 2022</t>
  </si>
  <si>
    <t>Hacienda Pública/Patrimonio Neto Final de 2022</t>
  </si>
  <si>
    <t>Junta Municipal de Agua Potable y Alcantarillado de Acámbaro, Gto.
Estado de Variación en la Hacienda Pública
Del 1 de Enero al 31 de Diciembre de 2022
(Cifras en Pesos)</t>
  </si>
  <si>
    <t>Junta Municipal de Agua Potable y Alcantarillado de Acámbaro, Gto.
Estado de Cambios en la Situación Financiera
Del 1 de Enero al 31 de Diciembre de 2022
(Cifras en Pesos)</t>
  </si>
  <si>
    <t>Junta Municipal de Agua Potable y Alcantarillado de Acámbaro, Gto.
Estado de Flujos de Efectivo
Del 1 de Enero al 31 de Diciembre de 2022
(Cifras en Pesos)</t>
  </si>
  <si>
    <t>Junta Municipal de Agua Potable y Alcantarillado de Acámbaro, Gto.
Estado Analítico del Activo
Del 1 de Enero al 31 de Diciembre de 2022
(Cifras en Pesos)</t>
  </si>
  <si>
    <t>Junta Municipal de Agua Potable y Alcantarillado de Acámbaro, Gto.
Estado Analítico de la Deuda y Otros Pasivos
Del 1 de Enero al 31 de Diciembre de 2022
(Cifras en Pesos)</t>
  </si>
  <si>
    <t>Junta Municipal de Agua Potable y Alcantarillado de Acámbaro, Gto.</t>
  </si>
  <si>
    <t>Correspondiente del 1 de Enero al 31 de Diciembre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</si>
</sst>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2022</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2022</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2022</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7854235</v>
      </c>
      <c r="E7" s="272" t="s">
        <v>275</v>
      </c>
      <c r="F7" s="121">
        <f>IF(ESF!E36&gt;0,ESF!E36,ESF!E36*-1)</f>
        <v>7854235</v>
      </c>
      <c r="G7" s="122">
        <f>ROUND(D7-F7,2)</f>
        <v>0</v>
      </c>
      <c r="H7" s="123" t="s">
        <v>285</v>
      </c>
      <c r="I7" s="124">
        <f>IF(ACT!C68&gt;0,ACT!C68,ACT!C68*-1)</f>
        <v>9065325.3799999952</v>
      </c>
      <c r="J7" s="125" t="s">
        <v>275</v>
      </c>
      <c r="K7" s="238">
        <f>IF(ESF!F36&gt;0,ESF!F36,ESF!F36*-1)</f>
        <v>9065325.3800000008</v>
      </c>
      <c r="L7" s="126">
        <f>ROUND(I7-K7,2)</f>
        <v>0</v>
      </c>
      <c r="M7" s="210" t="s">
        <v>205</v>
      </c>
      <c r="O7" s="239"/>
    </row>
    <row r="8" spans="1:15" ht="12" thickBot="1" x14ac:dyDescent="0.25">
      <c r="A8" s="109" t="s">
        <v>12</v>
      </c>
      <c r="B8" s="247" t="s">
        <v>205</v>
      </c>
      <c r="C8" s="127" t="s">
        <v>286</v>
      </c>
      <c r="D8" s="121">
        <f>IF(ACT!B68&gt;0,ACT!B68,ACT!B68*-1)</f>
        <v>7854235</v>
      </c>
      <c r="E8" s="129" t="s">
        <v>289</v>
      </c>
      <c r="F8" s="128">
        <f>IF(VHP!D28&gt;0,VHP!D28,VHP!D28*-1)</f>
        <v>7854235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9065325.3799999952</v>
      </c>
      <c r="J9" s="135" t="s">
        <v>289</v>
      </c>
      <c r="K9" s="134">
        <f>IF(VHP!D10&gt;0,VHP!D10,VHP!D10*-1)</f>
        <v>9065325.3800000008</v>
      </c>
      <c r="L9" s="136">
        <f>ROUND(I9-K9,2)</f>
        <v>0</v>
      </c>
      <c r="M9" s="211" t="s">
        <v>205</v>
      </c>
    </row>
    <row r="10" spans="1:15" ht="12" thickBot="1" x14ac:dyDescent="0.25">
      <c r="A10" s="109" t="s">
        <v>17</v>
      </c>
      <c r="B10" s="247" t="s">
        <v>205</v>
      </c>
      <c r="C10" s="137"/>
      <c r="D10" s="138"/>
      <c r="E10" s="139" t="s">
        <v>289</v>
      </c>
      <c r="F10" s="128">
        <f>IF(VHP!D29&gt;0,VHP!D29,VHP!D29*-1)</f>
        <v>9065325.3800000008</v>
      </c>
      <c r="G10" s="141"/>
      <c r="H10" s="133" t="s">
        <v>285</v>
      </c>
      <c r="I10" s="124">
        <f>IF(ACT!C68&gt;0,ACT!C68,ACT!C68*-1)</f>
        <v>9065325.3799999952</v>
      </c>
      <c r="J10" s="142"/>
      <c r="K10" s="143"/>
      <c r="L10" s="136">
        <f>ROUND(F10-I10,2)</f>
        <v>0</v>
      </c>
      <c r="M10" s="211" t="s">
        <v>205</v>
      </c>
    </row>
    <row r="11" spans="1:15" ht="12" thickBot="1" x14ac:dyDescent="0.25">
      <c r="A11" s="109" t="s">
        <v>19</v>
      </c>
      <c r="B11" s="247" t="s">
        <v>205</v>
      </c>
      <c r="C11" s="133" t="s">
        <v>275</v>
      </c>
      <c r="D11" s="144">
        <f>IF(ESF!E36&gt;0,ESF!E36,ESF!E36*-1)</f>
        <v>7854235</v>
      </c>
      <c r="E11" s="145" t="s">
        <v>285</v>
      </c>
      <c r="F11" s="146">
        <f>IF(ACT!B68&gt;0,ACT!B68,ACT!B68*-1)</f>
        <v>7854235</v>
      </c>
      <c r="G11" s="147">
        <f t="shared" ref="G11:G28" si="0">ROUND(D11-F11,2)</f>
        <v>0</v>
      </c>
      <c r="H11" s="133" t="s">
        <v>275</v>
      </c>
      <c r="I11" s="148">
        <f>IF(ESF!F36&gt;0,ESF!F36,ESF!F36*-1)</f>
        <v>9065325.3800000008</v>
      </c>
      <c r="J11" s="135" t="s">
        <v>285</v>
      </c>
      <c r="K11" s="134">
        <f>IF(ACT!C68&gt;0,ACT!C68,ACT!C68*-1)</f>
        <v>9065325.3799999952</v>
      </c>
      <c r="L11" s="136">
        <f>ROUND(I11-K11,2)</f>
        <v>0</v>
      </c>
      <c r="M11" s="211" t="s">
        <v>205</v>
      </c>
    </row>
    <row r="12" spans="1:15" x14ac:dyDescent="0.2">
      <c r="A12" s="110" t="s">
        <v>22</v>
      </c>
      <c r="B12" s="249" t="s">
        <v>162</v>
      </c>
      <c r="C12" s="149" t="s">
        <v>275</v>
      </c>
      <c r="D12" s="150">
        <f>IF(ESF!B5&gt;0,ESF!B5,ESF!B5*-1)</f>
        <v>27605198.640000001</v>
      </c>
      <c r="E12" s="151" t="s">
        <v>276</v>
      </c>
      <c r="F12" s="274">
        <f>IF(EAA!E5&gt;0,EAA!E5,EAA!E5*-1)</f>
        <v>27605198.639999986</v>
      </c>
      <c r="G12" s="153">
        <f t="shared" si="0"/>
        <v>0</v>
      </c>
      <c r="H12" s="154" t="s">
        <v>275</v>
      </c>
      <c r="I12" s="275">
        <f>IF(ESF!C5&gt;0,ESF!C5,ESF!C5*-1)</f>
        <v>22557065.66</v>
      </c>
      <c r="J12" s="155" t="s">
        <v>276</v>
      </c>
      <c r="K12" s="198">
        <f>IF(EAA!B5&gt;0,EAA!B5,EAA!B5*-1)</f>
        <v>22557065.66</v>
      </c>
      <c r="L12" s="157">
        <f t="shared" ref="L12:L43" si="1">ROUND(I12-K12,2)</f>
        <v>0</v>
      </c>
      <c r="M12" s="212" t="s">
        <v>162</v>
      </c>
    </row>
    <row r="13" spans="1:15" x14ac:dyDescent="0.2">
      <c r="A13" s="111"/>
      <c r="B13" s="240" t="s">
        <v>164</v>
      </c>
      <c r="C13" s="158" t="s">
        <v>275</v>
      </c>
      <c r="D13" s="159">
        <f>IF(ESF!B6&gt;0,ESF!B6,ESF!B6*-1)</f>
        <v>33739556.880000003</v>
      </c>
      <c r="E13" s="160" t="s">
        <v>276</v>
      </c>
      <c r="F13" s="140">
        <f>IF(EAA!E6&gt;0,EAA!E6,EAA!E6*-1)</f>
        <v>33739556.879999995</v>
      </c>
      <c r="G13" s="161">
        <f t="shared" si="0"/>
        <v>0</v>
      </c>
      <c r="H13" s="162" t="s">
        <v>275</v>
      </c>
      <c r="I13" s="163">
        <f>IF(ESF!C6&gt;0,ESF!C6,ESF!C6*-1)</f>
        <v>32521011.870000001</v>
      </c>
      <c r="J13" s="139" t="s">
        <v>276</v>
      </c>
      <c r="K13" s="163">
        <f>IF(EAA!B6&gt;0,EAA!B6,EAA!B6*-1)</f>
        <v>32521011.870000001</v>
      </c>
      <c r="L13" s="164">
        <f t="shared" si="1"/>
        <v>0</v>
      </c>
      <c r="M13" s="213" t="s">
        <v>164</v>
      </c>
    </row>
    <row r="14" spans="1:15" x14ac:dyDescent="0.2">
      <c r="A14" s="111"/>
      <c r="B14" s="240" t="s">
        <v>166</v>
      </c>
      <c r="C14" s="158" t="s">
        <v>275</v>
      </c>
      <c r="D14" s="159">
        <f>IF(ESF!B7&gt;0,ESF!B7,ESF!B7*-1)</f>
        <v>103981.72</v>
      </c>
      <c r="E14" s="160" t="s">
        <v>276</v>
      </c>
      <c r="F14" s="140">
        <f>IF(EAA!E7&gt;0,EAA!E7,EAA!E7*-1)</f>
        <v>103981.71999999999</v>
      </c>
      <c r="G14" s="161">
        <f t="shared" si="0"/>
        <v>0</v>
      </c>
      <c r="H14" s="162" t="s">
        <v>275</v>
      </c>
      <c r="I14" s="163">
        <f>IF(ESF!C7&gt;0,ESF!C7,ESF!C7*-1)</f>
        <v>88741.72</v>
      </c>
      <c r="J14" s="139" t="s">
        <v>276</v>
      </c>
      <c r="K14" s="163">
        <f>IF(EAA!B7&gt;0,EAA!B7,EAA!B7*-1)</f>
        <v>88741.72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1227012.3999999999</v>
      </c>
      <c r="E16" s="160" t="s">
        <v>276</v>
      </c>
      <c r="F16" s="140">
        <f>IF(EAA!E9&gt;0,EAA!E9,EAA!E9*-1)</f>
        <v>1227012.4000000004</v>
      </c>
      <c r="G16" s="161">
        <f t="shared" si="0"/>
        <v>0</v>
      </c>
      <c r="H16" s="162" t="s">
        <v>275</v>
      </c>
      <c r="I16" s="163">
        <f>IF(ESF!C9&gt;0,ESF!C9,ESF!C9*-1)</f>
        <v>705169.92000000004</v>
      </c>
      <c r="J16" s="139" t="s">
        <v>276</v>
      </c>
      <c r="K16" s="163">
        <f>IF(EAA!B9&gt;0,EAA!B9,EAA!B9*-1)</f>
        <v>705169.92000000004</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44544128.259999998</v>
      </c>
      <c r="E21" s="160" t="s">
        <v>276</v>
      </c>
      <c r="F21" s="140">
        <f>IF(EAA!E15&gt;0,EAA!E15,EAA!E15*-1)</f>
        <v>44544128.259999998</v>
      </c>
      <c r="G21" s="161">
        <f t="shared" si="0"/>
        <v>0</v>
      </c>
      <c r="H21" s="162" t="s">
        <v>275</v>
      </c>
      <c r="I21" s="163">
        <f>IF(ESF!C18&gt;0,ESF!C18,ESF!C18*-1)</f>
        <v>44544128.259999998</v>
      </c>
      <c r="J21" s="139" t="s">
        <v>276</v>
      </c>
      <c r="K21" s="163">
        <f>IF(EAA!B15&gt;0,EAA!B15,EAA!B15*-1)</f>
        <v>44544128.259999998</v>
      </c>
      <c r="L21" s="164">
        <f t="shared" si="1"/>
        <v>0</v>
      </c>
      <c r="M21" s="213" t="s">
        <v>184</v>
      </c>
    </row>
    <row r="22" spans="1:13" x14ac:dyDescent="0.2">
      <c r="A22" s="111"/>
      <c r="B22" s="240" t="s">
        <v>186</v>
      </c>
      <c r="C22" s="158" t="s">
        <v>275</v>
      </c>
      <c r="D22" s="159">
        <f>IF(ESF!B19&gt;0,ESF!B19,ESF!B19*-1)</f>
        <v>32393667.48</v>
      </c>
      <c r="E22" s="160" t="s">
        <v>276</v>
      </c>
      <c r="F22" s="140">
        <f>IF(EAA!E16&gt;0,EAA!E16,EAA!E16*-1)</f>
        <v>32393667.48</v>
      </c>
      <c r="G22" s="161">
        <f t="shared" si="0"/>
        <v>0</v>
      </c>
      <c r="H22" s="162" t="s">
        <v>275</v>
      </c>
      <c r="I22" s="163">
        <f>IF(ESF!C19&gt;0,ESF!C19,ESF!C19*-1)</f>
        <v>31289738.940000001</v>
      </c>
      <c r="J22" s="139" t="s">
        <v>276</v>
      </c>
      <c r="K22" s="163">
        <f>IF(EAA!B16&gt;0,EAA!B16,EAA!B16*-1)</f>
        <v>31289738.940000001</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994535.94</v>
      </c>
      <c r="J23" s="139" t="s">
        <v>276</v>
      </c>
      <c r="K23" s="163">
        <f>IF(EAA!B17&gt;0,EAA!B17,EAA!B17*-1)</f>
        <v>994535.94</v>
      </c>
      <c r="L23" s="164">
        <f t="shared" si="1"/>
        <v>0</v>
      </c>
      <c r="M23" s="213" t="s">
        <v>188</v>
      </c>
    </row>
    <row r="24" spans="1:13" ht="22.5" x14ac:dyDescent="0.2">
      <c r="A24" s="111"/>
      <c r="B24" s="240" t="s">
        <v>190</v>
      </c>
      <c r="C24" s="158" t="s">
        <v>275</v>
      </c>
      <c r="D24" s="159">
        <f>IF(ESF!B21&gt;0,ESF!B21,ESF!B21*-1)</f>
        <v>8775535.6500000004</v>
      </c>
      <c r="E24" s="160" t="s">
        <v>276</v>
      </c>
      <c r="F24" s="140">
        <f>IF(EAA!E18&gt;0,EAA!E18,EAA!E18*-1)</f>
        <v>8775535.6500000004</v>
      </c>
      <c r="G24" s="161">
        <f t="shared" si="0"/>
        <v>0</v>
      </c>
      <c r="H24" s="162" t="s">
        <v>275</v>
      </c>
      <c r="I24" s="163">
        <f>IF(ESF!C21&gt;0,ESF!C21,ESF!C21*-1)</f>
        <v>6395202.6299999999</v>
      </c>
      <c r="J24" s="139" t="s">
        <v>276</v>
      </c>
      <c r="K24" s="163">
        <f>IF(EAA!B18&gt;0,EAA!B18,EAA!B18*-1)</f>
        <v>6395202.6299999999</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27605198.640000001</v>
      </c>
      <c r="E28" s="176" t="s">
        <v>277</v>
      </c>
      <c r="F28" s="144">
        <f>IF(EFE!B65&gt;0,EFE!B65,EFE!B65*-1)</f>
        <v>27605198.640000001</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22557065.66</v>
      </c>
      <c r="J29" s="135" t="s">
        <v>277</v>
      </c>
      <c r="K29" s="134">
        <f>IF(EFE!B63&gt;0,EFE!B63,EFE!B63*-1)</f>
        <v>22557065.66</v>
      </c>
      <c r="L29" s="136">
        <f t="shared" si="1"/>
        <v>0</v>
      </c>
      <c r="M29" s="211" t="s">
        <v>162</v>
      </c>
    </row>
    <row r="30" spans="1:13" ht="12" thickBot="1" x14ac:dyDescent="0.25">
      <c r="A30" s="109" t="s">
        <v>30</v>
      </c>
      <c r="B30" s="247" t="s">
        <v>278</v>
      </c>
      <c r="C30" s="174" t="s">
        <v>275</v>
      </c>
      <c r="D30" s="144">
        <f>IF(ESF!B28&gt;0,ESF!B28,ESF!B28*-1)</f>
        <v>138098663.33999997</v>
      </c>
      <c r="E30" s="135" t="s">
        <v>275</v>
      </c>
      <c r="F30" s="144">
        <f>IF(ESF!E48&gt;0,ESF!E48,ESF!E48*-1)</f>
        <v>138098663.34</v>
      </c>
      <c r="G30" s="147">
        <f>ROUND(D30-F30,2)</f>
        <v>0</v>
      </c>
      <c r="H30" s="133" t="s">
        <v>275</v>
      </c>
      <c r="I30" s="134">
        <f>IF(ESF!C28&gt;0,ESF!C28,ESF!C28*-1)</f>
        <v>130049456.40000001</v>
      </c>
      <c r="J30" s="135" t="s">
        <v>275</v>
      </c>
      <c r="K30" s="134">
        <f>IF(ESF!F48&gt;0,ESF!F48,ESF!F48*-1)</f>
        <v>130049456.40000001</v>
      </c>
      <c r="L30" s="136">
        <f t="shared" si="1"/>
        <v>0</v>
      </c>
      <c r="M30" s="211" t="s">
        <v>278</v>
      </c>
    </row>
    <row r="31" spans="1:13" ht="12" thickBot="1" x14ac:dyDescent="0.25">
      <c r="A31" s="109" t="s">
        <v>33</v>
      </c>
      <c r="B31" s="247" t="s">
        <v>279</v>
      </c>
      <c r="C31" s="174" t="s">
        <v>275</v>
      </c>
      <c r="D31" s="144">
        <f>IF(ESF!E26&gt;0,ESF!E26,ESF!E26*-1)</f>
        <v>23613083.619999997</v>
      </c>
      <c r="E31" s="135" t="s">
        <v>290</v>
      </c>
      <c r="F31" s="144">
        <f>IF(ADP!E34&gt;0,ADP!E34,ADP!E34*-1)</f>
        <v>23613083.620000001</v>
      </c>
      <c r="G31" s="147">
        <f>ROUND(D31-F31,2)</f>
        <v>0</v>
      </c>
      <c r="H31" s="133" t="s">
        <v>275</v>
      </c>
      <c r="I31" s="134">
        <f>IF(ESF!F26&gt;0,ESF!F26,ESF!F26*-1)</f>
        <v>22847106.5</v>
      </c>
      <c r="J31" s="135" t="s">
        <v>290</v>
      </c>
      <c r="K31" s="134">
        <f>IF(ADP!D34&gt;0,ADP!D34,ADP!D34*-1)</f>
        <v>22847106.5</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32600335.339999996</v>
      </c>
      <c r="J34" s="135" t="s">
        <v>289</v>
      </c>
      <c r="K34" s="134">
        <f>IF(VHP!F9&gt;0,VHP!F9,VHP!F9*-1)</f>
        <v>32600335.339999996</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114485579.72000001</v>
      </c>
      <c r="E37" s="135" t="s">
        <v>289</v>
      </c>
      <c r="F37" s="144">
        <f>IF(VHP!F38&gt;0,VHP!F38,VHP!F38*-1)</f>
        <v>114485579.72000001</v>
      </c>
      <c r="G37" s="147">
        <f>ROUND(D37-F37,2)</f>
        <v>0</v>
      </c>
      <c r="H37" s="133" t="s">
        <v>275</v>
      </c>
      <c r="I37" s="134">
        <f>IF(ESF!F46&gt;0,ESF!F46,ESF!F46*-1)</f>
        <v>107202349.90000001</v>
      </c>
      <c r="J37" s="135" t="s">
        <v>289</v>
      </c>
      <c r="K37" s="134">
        <f>IF(VHP!F20&gt;0,VHP!F20,VHP!F20*-1)</f>
        <v>107202349.90000001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32600335.339999996</v>
      </c>
      <c r="J40" s="135" t="s">
        <v>275</v>
      </c>
      <c r="K40" s="134">
        <f>IF(ESF!F35&gt;0,ESF!F35,ESF!F35*-1)</f>
        <v>32600335.339999996</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114485579.72000001</v>
      </c>
      <c r="E43" s="135" t="s">
        <v>275</v>
      </c>
      <c r="F43" s="183">
        <f>IF(ESF!E46&gt;0,ESF!E46,ESF!E46*-1)</f>
        <v>114485579.72000001</v>
      </c>
      <c r="G43" s="147">
        <f t="shared" ref="G43:G49" si="2">ROUND(D43-F43,2)</f>
        <v>0</v>
      </c>
      <c r="H43" s="133" t="s">
        <v>289</v>
      </c>
      <c r="I43" s="134">
        <f>IF(VHP!F20&gt;0,VHP!F20,VHP!F20*-1)</f>
        <v>107202349.90000001</v>
      </c>
      <c r="J43" s="135" t="s">
        <v>275</v>
      </c>
      <c r="K43" s="134">
        <f>IF(ESF!F46&gt;0,ESF!F46,ESF!F46*-1)</f>
        <v>107202349.90000001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8494320.1999999993</v>
      </c>
      <c r="E50" s="135" t="s">
        <v>291</v>
      </c>
      <c r="F50" s="183">
        <f>IF(CSF!$B52&gt;0,CSF!$B52,CSF!$C52)</f>
        <v>8494320.1999999993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1211090.3800000008</v>
      </c>
      <c r="E53" s="135" t="s">
        <v>291</v>
      </c>
      <c r="F53" s="183">
        <f>IF(CSF!$B51&gt;0,CSF!$B51,CSF!$C51)</f>
        <v>1211090.3799999999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7854235</v>
      </c>
      <c r="E54" s="155" t="s">
        <v>275</v>
      </c>
      <c r="F54" s="184">
        <f>IF(ESF!E36&gt;0,ESF!E36,ESF!E36*-1)</f>
        <v>7854235</v>
      </c>
      <c r="G54" s="153">
        <f t="shared" si="3"/>
        <v>0</v>
      </c>
      <c r="H54" s="293"/>
      <c r="I54" s="294"/>
      <c r="J54" s="294"/>
      <c r="K54" s="294"/>
      <c r="L54" s="295"/>
      <c r="M54" s="226" t="s">
        <v>156</v>
      </c>
    </row>
    <row r="55" spans="1:13" ht="12" thickBot="1" x14ac:dyDescent="0.25">
      <c r="A55" s="112"/>
      <c r="B55" s="259" t="s">
        <v>156</v>
      </c>
      <c r="C55" s="182" t="s">
        <v>289</v>
      </c>
      <c r="D55" s="168">
        <f>IF(VHP!D28&gt;0,VHP!D28,VHP!D28*-1)</f>
        <v>7854235</v>
      </c>
      <c r="E55" s="171" t="s">
        <v>285</v>
      </c>
      <c r="F55" s="189">
        <f>IF(ACT!B68&gt;0,ACT!B68,ACT!B68*-1)</f>
        <v>7854235</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9065325.3800000008</v>
      </c>
      <c r="J56" s="199" t="s">
        <v>275</v>
      </c>
      <c r="K56" s="198">
        <f>IF(ESF!F36&gt;0,ESF!F36,ESF!F36*-1)</f>
        <v>9065325.3800000008</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9065325.3800000008</v>
      </c>
      <c r="J57" s="139" t="s">
        <v>285</v>
      </c>
      <c r="K57" s="201">
        <f>IF(ACT!C68&gt;0,ACT!C68,ACT!C68*-1)</f>
        <v>9065325.3799999952</v>
      </c>
      <c r="L57" s="164">
        <f t="shared" si="4"/>
        <v>0</v>
      </c>
      <c r="M57" s="224" t="s">
        <v>156</v>
      </c>
    </row>
    <row r="58" spans="1:13" x14ac:dyDescent="0.2">
      <c r="A58" s="120" t="s">
        <v>68</v>
      </c>
      <c r="B58" s="269" t="s">
        <v>206</v>
      </c>
      <c r="C58" s="187" t="s">
        <v>289</v>
      </c>
      <c r="D58" s="140">
        <f>IF(VHP!D29&gt;0,VHP!D29,VHP!D29*-1)</f>
        <v>9065325.3800000008</v>
      </c>
      <c r="E58" s="195"/>
      <c r="F58" s="195"/>
      <c r="G58" s="195"/>
      <c r="H58" s="302"/>
      <c r="I58" s="303"/>
      <c r="J58" s="139" t="s">
        <v>275</v>
      </c>
      <c r="K58" s="163">
        <f>IF(ESF!F36&gt;0,ESF!F36,ESF!F36*-1)</f>
        <v>9065325.3800000008</v>
      </c>
      <c r="L58" s="164">
        <f>ROUND((D58-K58),2)</f>
        <v>0</v>
      </c>
      <c r="M58" s="228" t="s">
        <v>206</v>
      </c>
    </row>
    <row r="59" spans="1:13" ht="12" thickBot="1" x14ac:dyDescent="0.25">
      <c r="A59" s="112"/>
      <c r="B59" s="270" t="s">
        <v>206</v>
      </c>
      <c r="C59" s="190" t="s">
        <v>289</v>
      </c>
      <c r="D59" s="191">
        <f>IF(VHP!D29&gt;0,VHP!D29,VHP!D29*-1)</f>
        <v>9065325.3800000008</v>
      </c>
      <c r="E59" s="195"/>
      <c r="F59" s="195"/>
      <c r="G59" s="195"/>
      <c r="H59" s="296"/>
      <c r="I59" s="304"/>
      <c r="J59" s="192" t="s">
        <v>286</v>
      </c>
      <c r="K59" s="201">
        <f>IF(ACT!C68&gt;0,ACT!C68,ACT!C68*-1)</f>
        <v>9065325.3799999952</v>
      </c>
      <c r="L59" s="202">
        <f>ROUND((D59-K59),2)</f>
        <v>0</v>
      </c>
      <c r="M59" s="223" t="s">
        <v>206</v>
      </c>
    </row>
    <row r="60" spans="1:13" ht="12" thickBot="1" x14ac:dyDescent="0.25">
      <c r="A60" s="115" t="s">
        <v>72</v>
      </c>
      <c r="B60" s="262" t="s">
        <v>162</v>
      </c>
      <c r="C60" s="133" t="s">
        <v>291</v>
      </c>
      <c r="D60" s="183">
        <f>IF(CSF!$B5&gt;0,CSF!$B5,CSF!$C5)</f>
        <v>5048132.9800000004</v>
      </c>
      <c r="E60" s="135" t="s">
        <v>277</v>
      </c>
      <c r="F60" s="183">
        <f>IF(EFE!B61&gt;0,EFE!B61,EFE!B61*-1)</f>
        <v>5048132.9799999986</v>
      </c>
      <c r="G60" s="147">
        <f>ROUND(D60-F60,2)</f>
        <v>0</v>
      </c>
      <c r="H60" s="290"/>
      <c r="I60" s="291"/>
      <c r="J60" s="291"/>
      <c r="K60" s="291"/>
      <c r="L60" s="292"/>
      <c r="M60" s="229" t="s">
        <v>162</v>
      </c>
    </row>
    <row r="61" spans="1:13" x14ac:dyDescent="0.2">
      <c r="A61" s="113" t="s">
        <v>75</v>
      </c>
      <c r="B61" s="263" t="s">
        <v>162</v>
      </c>
      <c r="C61" s="154" t="s">
        <v>291</v>
      </c>
      <c r="D61" s="184">
        <f>IF(CSF!$B5&gt;0,CSF!$B5,CSF!$C5)</f>
        <v>5048132.9800000004</v>
      </c>
      <c r="E61" s="155" t="s">
        <v>276</v>
      </c>
      <c r="F61" s="184">
        <f>IF(EAA!F5&gt;0,EAA!F5,EAA!F5*-1)</f>
        <v>5048132.9799999855</v>
      </c>
      <c r="G61" s="153">
        <f>ROUND(D61-F61,2)</f>
        <v>0</v>
      </c>
      <c r="H61" s="293"/>
      <c r="I61" s="294"/>
      <c r="J61" s="294"/>
      <c r="K61" s="294"/>
      <c r="L61" s="295"/>
      <c r="M61" s="230" t="s">
        <v>162</v>
      </c>
    </row>
    <row r="62" spans="1:13" x14ac:dyDescent="0.2">
      <c r="A62" s="116"/>
      <c r="B62" s="243" t="s">
        <v>164</v>
      </c>
      <c r="C62" s="187" t="s">
        <v>291</v>
      </c>
      <c r="D62" s="188">
        <f>IF(CSF!$B6&gt;0,CSF!$B6,CSF!$C6)</f>
        <v>1218545.01</v>
      </c>
      <c r="E62" s="139" t="s">
        <v>276</v>
      </c>
      <c r="F62" s="188">
        <f>IF(EAA!F6&gt;0,EAA!F6,EAA!F6*-1)</f>
        <v>1218545.0099999942</v>
      </c>
      <c r="G62" s="161">
        <f>ROUND(D62-F62,2)</f>
        <v>0</v>
      </c>
      <c r="H62" s="293"/>
      <c r="I62" s="294"/>
      <c r="J62" s="294"/>
      <c r="K62" s="294"/>
      <c r="L62" s="295"/>
      <c r="M62" s="231" t="s">
        <v>164</v>
      </c>
    </row>
    <row r="63" spans="1:13" x14ac:dyDescent="0.2">
      <c r="A63" s="116"/>
      <c r="B63" s="243" t="s">
        <v>166</v>
      </c>
      <c r="C63" s="187" t="s">
        <v>291</v>
      </c>
      <c r="D63" s="188">
        <f>IF(CSF!$B7&gt;0,CSF!$B7,CSF!$C7)</f>
        <v>15240</v>
      </c>
      <c r="E63" s="139" t="s">
        <v>276</v>
      </c>
      <c r="F63" s="188">
        <f>IF(EAA!F7&gt;0,EAA!F7,EAA!F7*-1)</f>
        <v>15239.999999999985</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521842.48</v>
      </c>
      <c r="E65" s="139" t="s">
        <v>276</v>
      </c>
      <c r="F65" s="188">
        <f>IF(EAA!F9&gt;0,EAA!F9,EAA!F9*-1)</f>
        <v>521842.48000000033</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1103928.54</v>
      </c>
      <c r="E71" s="139" t="s">
        <v>276</v>
      </c>
      <c r="F71" s="188">
        <f>IF(EAA!F16&gt;0,EAA!F16,EAA!F16*-1)</f>
        <v>1103928.5399999991</v>
      </c>
      <c r="G71" s="161">
        <f t="shared" si="5"/>
        <v>0</v>
      </c>
      <c r="H71" s="293"/>
      <c r="I71" s="294"/>
      <c r="J71" s="294"/>
      <c r="K71" s="294"/>
      <c r="L71" s="295"/>
      <c r="M71" s="231" t="s">
        <v>186</v>
      </c>
    </row>
    <row r="72" spans="1:13" x14ac:dyDescent="0.2">
      <c r="A72" s="116"/>
      <c r="B72" s="243" t="s">
        <v>188</v>
      </c>
      <c r="C72" s="187" t="s">
        <v>291</v>
      </c>
      <c r="D72" s="188">
        <f>IF(CSF!$B18&gt;0,CSF!$B18,CSF!$C18)</f>
        <v>2521850.9500000002</v>
      </c>
      <c r="E72" s="139" t="s">
        <v>276</v>
      </c>
      <c r="F72" s="188">
        <f>IF(EAA!F17&gt;0,EAA!F17,EAA!F17*-1)</f>
        <v>2521850.9500000002</v>
      </c>
      <c r="G72" s="161">
        <f t="shared" si="5"/>
        <v>0</v>
      </c>
      <c r="H72" s="293"/>
      <c r="I72" s="294"/>
      <c r="J72" s="294"/>
      <c r="K72" s="294"/>
      <c r="L72" s="295"/>
      <c r="M72" s="231" t="s">
        <v>188</v>
      </c>
    </row>
    <row r="73" spans="1:13" ht="22.5" x14ac:dyDescent="0.2">
      <c r="A73" s="116"/>
      <c r="B73" s="243" t="s">
        <v>190</v>
      </c>
      <c r="C73" s="187" t="s">
        <v>291</v>
      </c>
      <c r="D73" s="188">
        <f>IF(CSF!$B19&gt;0,CSF!$B19,CSF!$C19)</f>
        <v>2380333.02</v>
      </c>
      <c r="E73" s="139" t="s">
        <v>276</v>
      </c>
      <c r="F73" s="188">
        <f>IF(EAA!F18&gt;0,EAA!F18,EAA!F18*-1)</f>
        <v>2380333.0200000005</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1211090.3799999999</v>
      </c>
      <c r="E80" s="135" t="s">
        <v>289</v>
      </c>
      <c r="F80" s="183">
        <f>IF((VHP!D28+VHP!D29)&gt;0,VHP!D28+VHP!D29,(VHP!D28+VHP!D29)*-1)</f>
        <v>1211090.3800000008</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5048132.9799999986</v>
      </c>
      <c r="E81" s="135" t="s">
        <v>291</v>
      </c>
      <c r="F81" s="183">
        <f>IF(CSF!$B5&gt;0,CSF!$B5,CSF!$C5)</f>
        <v>5048132.9800000004</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27605198.640000001</v>
      </c>
      <c r="E82" s="135" t="s">
        <v>275</v>
      </c>
      <c r="F82" s="183">
        <f>IF(ESF!B5&gt;0,ESF!B5,ESF!B5*-1)</f>
        <v>27605198.640000001</v>
      </c>
      <c r="G82" s="147">
        <f t="shared" si="6"/>
        <v>0</v>
      </c>
      <c r="H82" s="133" t="s">
        <v>277</v>
      </c>
      <c r="I82" s="134">
        <f>IF(EFE!C65&gt;0,EFE!C65,EFE!C65*-1)</f>
        <v>22557065.66</v>
      </c>
      <c r="J82" s="135" t="s">
        <v>275</v>
      </c>
      <c r="K82" s="134">
        <f>IF(ESF!C5&gt;0,ESF!C5,ESF!C5*-1)</f>
        <v>22557065.66</v>
      </c>
      <c r="L82" s="136">
        <f t="shared" ref="L82:L99" si="7">ROUND(I82-K82,2)</f>
        <v>0</v>
      </c>
      <c r="M82" s="211" t="s">
        <v>248</v>
      </c>
    </row>
    <row r="83" spans="1:13" ht="23.25" thickBot="1" x14ac:dyDescent="0.25">
      <c r="A83" s="115" t="s">
        <v>89</v>
      </c>
      <c r="B83" s="247" t="s">
        <v>247</v>
      </c>
      <c r="C83" s="203" t="s">
        <v>277</v>
      </c>
      <c r="D83" s="144">
        <f>IF(EFE!B63&gt;0,EFE!B63,EFE!B63*-1)</f>
        <v>22557065.66</v>
      </c>
      <c r="E83" s="305"/>
      <c r="F83" s="300"/>
      <c r="G83" s="300"/>
      <c r="H83" s="300"/>
      <c r="I83" s="306"/>
      <c r="J83" s="135" t="s">
        <v>275</v>
      </c>
      <c r="K83" s="204">
        <f>IF(ESF!C5&gt;0,ESF!C5,ESF!C5*-1)</f>
        <v>22557065.66</v>
      </c>
      <c r="L83" s="136">
        <f>ROUND(D83-K83,2)</f>
        <v>0</v>
      </c>
      <c r="M83" s="211" t="s">
        <v>247</v>
      </c>
    </row>
    <row r="84" spans="1:13" x14ac:dyDescent="0.2">
      <c r="A84" s="113" t="s">
        <v>91</v>
      </c>
      <c r="B84" s="265" t="s">
        <v>162</v>
      </c>
      <c r="C84" s="154" t="s">
        <v>276</v>
      </c>
      <c r="D84" s="274">
        <f>IF(EAA!E5&gt;0,EAA!E5,EAA!E5*-1)</f>
        <v>27605198.639999986</v>
      </c>
      <c r="E84" s="155" t="s">
        <v>275</v>
      </c>
      <c r="F84" s="276">
        <f>IF(ESF!B5&gt;0,ESF!B5,ESF!B5*-1)</f>
        <v>27605198.640000001</v>
      </c>
      <c r="G84" s="153">
        <f t="shared" ref="G84:G99" si="8">ROUND(D84-F84,2)</f>
        <v>0</v>
      </c>
      <c r="H84" s="154" t="s">
        <v>276</v>
      </c>
      <c r="I84" s="128">
        <f>IF(EAA!B5&gt;0,EAA!B5,EAA!B5*-1)</f>
        <v>22557065.66</v>
      </c>
      <c r="J84" s="155" t="s">
        <v>275</v>
      </c>
      <c r="K84" s="156">
        <f>IF(ESF!C5&gt;0,ESF!C5,ESF!C5*-1)</f>
        <v>22557065.66</v>
      </c>
      <c r="L84" s="157">
        <f t="shared" si="7"/>
        <v>0</v>
      </c>
      <c r="M84" s="233" t="s">
        <v>162</v>
      </c>
    </row>
    <row r="85" spans="1:13" x14ac:dyDescent="0.2">
      <c r="A85" s="116"/>
      <c r="B85" s="244" t="s">
        <v>164</v>
      </c>
      <c r="C85" s="187" t="s">
        <v>276</v>
      </c>
      <c r="D85" s="140">
        <f>IF(EAA!E6&gt;0,EAA!E6,EAA!E6*-1)</f>
        <v>33739556.879999995</v>
      </c>
      <c r="E85" s="139" t="s">
        <v>275</v>
      </c>
      <c r="F85" s="188">
        <f>IF(ESF!B6&gt;0,ESF!B6,ESF!B6*-1)</f>
        <v>33739556.880000003</v>
      </c>
      <c r="G85" s="161">
        <f t="shared" si="8"/>
        <v>0</v>
      </c>
      <c r="H85" s="187" t="s">
        <v>276</v>
      </c>
      <c r="I85" s="163">
        <f>IF(EAA!B6&gt;0,EAA!B6,EAA!B6*-1)</f>
        <v>32521011.870000001</v>
      </c>
      <c r="J85" s="139" t="s">
        <v>275</v>
      </c>
      <c r="K85" s="163">
        <f>IF(ESF!C6&gt;0,ESF!C6,ESF!C6*-1)</f>
        <v>32521011.870000001</v>
      </c>
      <c r="L85" s="164">
        <f t="shared" si="7"/>
        <v>0</v>
      </c>
      <c r="M85" s="234" t="s">
        <v>164</v>
      </c>
    </row>
    <row r="86" spans="1:13" x14ac:dyDescent="0.2">
      <c r="A86" s="116"/>
      <c r="B86" s="244" t="s">
        <v>166</v>
      </c>
      <c r="C86" s="187" t="s">
        <v>276</v>
      </c>
      <c r="D86" s="140">
        <f>IF(EAA!E7&gt;0,EAA!E7,EAA!E7*-1)</f>
        <v>103981.71999999999</v>
      </c>
      <c r="E86" s="139" t="s">
        <v>275</v>
      </c>
      <c r="F86" s="188">
        <f>IF(ESF!B7&gt;0,ESF!B7,ESF!B7*-1)</f>
        <v>103981.72</v>
      </c>
      <c r="G86" s="161">
        <f t="shared" si="8"/>
        <v>0</v>
      </c>
      <c r="H86" s="187" t="s">
        <v>276</v>
      </c>
      <c r="I86" s="163">
        <f>IF(EAA!B7&gt;0,EAA!B7,EAA!B7*-1)</f>
        <v>88741.72</v>
      </c>
      <c r="J86" s="139" t="s">
        <v>275</v>
      </c>
      <c r="K86" s="163">
        <f>IF(ESF!C7&gt;0,ESF!C7,ESF!C7*-1)</f>
        <v>88741.72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1227012.4000000004</v>
      </c>
      <c r="E88" s="139" t="s">
        <v>275</v>
      </c>
      <c r="F88" s="188">
        <f>IF(ESF!B9&gt;0,ESF!B9,ESF!B9*-1)</f>
        <v>1227012.3999999999</v>
      </c>
      <c r="G88" s="161">
        <f t="shared" si="8"/>
        <v>0</v>
      </c>
      <c r="H88" s="187" t="s">
        <v>276</v>
      </c>
      <c r="I88" s="163">
        <f>IF(EAA!B9&gt;0,EAA!B9,EAA!B9*-1)</f>
        <v>705169.92000000004</v>
      </c>
      <c r="J88" s="139" t="s">
        <v>275</v>
      </c>
      <c r="K88" s="163">
        <f>IF(ESF!C9&gt;0,ESF!C9,ESF!C9*-1)</f>
        <v>705169.92000000004</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44544128.259999998</v>
      </c>
      <c r="E93" s="139" t="s">
        <v>275</v>
      </c>
      <c r="F93" s="188">
        <f>IF(ESF!B18&gt;0,ESF!B18,ESF!B18*-1)</f>
        <v>44544128.259999998</v>
      </c>
      <c r="G93" s="161">
        <f t="shared" si="8"/>
        <v>0</v>
      </c>
      <c r="H93" s="187" t="s">
        <v>276</v>
      </c>
      <c r="I93" s="163">
        <f>IF(EAA!B15&gt;0,EAA!B15,EAA!B15*-1)</f>
        <v>44544128.259999998</v>
      </c>
      <c r="J93" s="139" t="s">
        <v>275</v>
      </c>
      <c r="K93" s="163">
        <f>IF(ESF!C18&gt;0,ESF!C18,ESF!C18*-1)</f>
        <v>44544128.259999998</v>
      </c>
      <c r="L93" s="164">
        <f t="shared" si="7"/>
        <v>0</v>
      </c>
      <c r="M93" s="234" t="s">
        <v>184</v>
      </c>
    </row>
    <row r="94" spans="1:13" x14ac:dyDescent="0.2">
      <c r="A94" s="116"/>
      <c r="B94" s="244" t="s">
        <v>186</v>
      </c>
      <c r="C94" s="187" t="s">
        <v>276</v>
      </c>
      <c r="D94" s="140">
        <f>IF(EAA!E16&gt;0,EAA!E16,EAA!E16*-1)</f>
        <v>32393667.48</v>
      </c>
      <c r="E94" s="139" t="s">
        <v>275</v>
      </c>
      <c r="F94" s="188">
        <f>IF(ESF!B19&gt;0,ESF!B19,ESF!B19*-1)</f>
        <v>32393667.48</v>
      </c>
      <c r="G94" s="161">
        <f t="shared" si="8"/>
        <v>0</v>
      </c>
      <c r="H94" s="187" t="s">
        <v>276</v>
      </c>
      <c r="I94" s="163">
        <f>IF(EAA!B16&gt;0,EAA!B16,EAA!B16*-1)</f>
        <v>31289738.940000001</v>
      </c>
      <c r="J94" s="139" t="s">
        <v>275</v>
      </c>
      <c r="K94" s="163">
        <f>IF(ESF!C19&gt;0,ESF!C19,ESF!C19*-1)</f>
        <v>31289738.940000001</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994535.94</v>
      </c>
      <c r="J95" s="139" t="s">
        <v>275</v>
      </c>
      <c r="K95" s="163">
        <f>IF(ESF!C20&gt;0,ESF!C20,ESF!C20*-1)</f>
        <v>994535.94</v>
      </c>
      <c r="L95" s="164">
        <f t="shared" si="7"/>
        <v>0</v>
      </c>
      <c r="M95" s="234" t="s">
        <v>188</v>
      </c>
    </row>
    <row r="96" spans="1:13" ht="22.5" x14ac:dyDescent="0.2">
      <c r="A96" s="116"/>
      <c r="B96" s="244" t="s">
        <v>190</v>
      </c>
      <c r="C96" s="187" t="s">
        <v>276</v>
      </c>
      <c r="D96" s="140">
        <f>IF(EAA!E18&gt;0,EAA!E18,EAA!E18*-1)</f>
        <v>8775535.6500000004</v>
      </c>
      <c r="E96" s="139" t="s">
        <v>275</v>
      </c>
      <c r="F96" s="188">
        <f>IF(ESF!B21&gt;0,ESF!B21,ESF!B21*-1)</f>
        <v>8775535.6500000004</v>
      </c>
      <c r="G96" s="161">
        <f t="shared" si="8"/>
        <v>0</v>
      </c>
      <c r="H96" s="187" t="s">
        <v>276</v>
      </c>
      <c r="I96" s="163">
        <f>IF(EAA!B18&gt;0,EAA!B18,EAA!B18*-1)</f>
        <v>6395202.6299999999</v>
      </c>
      <c r="J96" s="139" t="s">
        <v>275</v>
      </c>
      <c r="K96" s="163">
        <f>IF(ESF!C21&gt;0,ESF!C21,ESF!C21*-1)</f>
        <v>6395202.6299999999</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5048132.9799999855</v>
      </c>
      <c r="E100" s="199" t="s">
        <v>291</v>
      </c>
      <c r="F100" s="206">
        <f>IF(CSF!$B5&gt;0,CSF!$B5,CSF!$C5)</f>
        <v>5048132.9800000004</v>
      </c>
      <c r="G100" s="207">
        <f>ROUND(D100-F100,2)</f>
        <v>0</v>
      </c>
      <c r="H100" s="293"/>
      <c r="I100" s="294"/>
      <c r="J100" s="294"/>
      <c r="K100" s="208"/>
      <c r="L100" s="209"/>
      <c r="M100" s="236" t="s">
        <v>162</v>
      </c>
    </row>
    <row r="101" spans="1:13" x14ac:dyDescent="0.2">
      <c r="A101" s="101"/>
      <c r="B101" s="245" t="s">
        <v>164</v>
      </c>
      <c r="C101" s="187" t="s">
        <v>276</v>
      </c>
      <c r="D101" s="205">
        <f>IF(EAA!F6&gt;0,EAA!F6,EAA!F6*-1)</f>
        <v>1218545.0099999942</v>
      </c>
      <c r="E101" s="139" t="s">
        <v>291</v>
      </c>
      <c r="F101" s="188">
        <f>IF(CSF!$B6&gt;0,CSF!$B6,CSF!$C6)</f>
        <v>1218545.01</v>
      </c>
      <c r="G101" s="161">
        <f>ROUND(D101-F101,2)</f>
        <v>0</v>
      </c>
      <c r="H101" s="293"/>
      <c r="I101" s="294"/>
      <c r="J101" s="294"/>
      <c r="K101" s="208"/>
      <c r="L101" s="209"/>
      <c r="M101" s="236" t="s">
        <v>164</v>
      </c>
    </row>
    <row r="102" spans="1:13" x14ac:dyDescent="0.2">
      <c r="A102" s="101"/>
      <c r="B102" s="245" t="s">
        <v>166</v>
      </c>
      <c r="C102" s="187" t="s">
        <v>276</v>
      </c>
      <c r="D102" s="205">
        <f>IF(EAA!F7&gt;0,EAA!F7,EAA!F7*-1)</f>
        <v>15239.999999999985</v>
      </c>
      <c r="E102" s="139" t="s">
        <v>291</v>
      </c>
      <c r="F102" s="188">
        <f>IF(CSF!$B7&gt;0,CSF!$B7,CSF!$C7)</f>
        <v>15240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521842.48000000033</v>
      </c>
      <c r="E104" s="139" t="s">
        <v>291</v>
      </c>
      <c r="F104" s="188">
        <f>IF(CSF!$B9&gt;0,CSF!$B9,CSF!$C9)</f>
        <v>521842.48</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1103928.5399999991</v>
      </c>
      <c r="E110" s="139" t="s">
        <v>291</v>
      </c>
      <c r="F110" s="188">
        <f>IF(CSF!$B17&gt;0,CSF!$B17,CSF!$C17)</f>
        <v>1103928.54</v>
      </c>
      <c r="G110" s="161">
        <f t="shared" si="9"/>
        <v>0</v>
      </c>
      <c r="H110" s="293"/>
      <c r="I110" s="294"/>
      <c r="J110" s="294"/>
      <c r="K110" s="208"/>
      <c r="L110" s="209"/>
      <c r="M110" s="236" t="s">
        <v>186</v>
      </c>
    </row>
    <row r="111" spans="1:13" x14ac:dyDescent="0.2">
      <c r="A111" s="101"/>
      <c r="B111" s="245" t="s">
        <v>188</v>
      </c>
      <c r="C111" s="187" t="s">
        <v>276</v>
      </c>
      <c r="D111" s="205">
        <f>IF(EAA!F17&gt;0,EAA!F17,EAA!F17*-1)</f>
        <v>2521850.9500000002</v>
      </c>
      <c r="E111" s="139" t="s">
        <v>291</v>
      </c>
      <c r="F111" s="188">
        <f>IF(CSF!$B18&gt;0,CSF!$B18,CSF!$C18)</f>
        <v>2521850.9500000002</v>
      </c>
      <c r="G111" s="161">
        <f t="shared" si="9"/>
        <v>0</v>
      </c>
      <c r="H111" s="293"/>
      <c r="I111" s="294"/>
      <c r="J111" s="294"/>
      <c r="K111" s="208"/>
      <c r="L111" s="209"/>
      <c r="M111" s="236" t="s">
        <v>188</v>
      </c>
    </row>
    <row r="112" spans="1:13" ht="22.5" x14ac:dyDescent="0.2">
      <c r="A112" s="101"/>
      <c r="B112" s="245" t="s">
        <v>190</v>
      </c>
      <c r="C112" s="187" t="s">
        <v>276</v>
      </c>
      <c r="D112" s="205">
        <f>IF(EAA!F18&gt;0,EAA!F18,EAA!F18*-1)</f>
        <v>2380333.0200000005</v>
      </c>
      <c r="E112" s="139" t="s">
        <v>291</v>
      </c>
      <c r="F112" s="188">
        <f>IF(CSF!$B19&gt;0,CSF!$B19,CSF!$C19)</f>
        <v>2380333.02</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23613083.620000001</v>
      </c>
      <c r="E116" s="135" t="s">
        <v>275</v>
      </c>
      <c r="F116" s="144">
        <f>IF(ESF!E26&gt;0,ADP!E34,ADP!E34*-1)</f>
        <v>23613083.620000001</v>
      </c>
      <c r="G116" s="147">
        <f>ROUND(D116-F116,2)</f>
        <v>0</v>
      </c>
      <c r="H116" s="133" t="s">
        <v>290</v>
      </c>
      <c r="I116" s="134">
        <f>IF(ADP!D34&gt;0,ADP!D34,ADP!D34*-1)</f>
        <v>22847106.5</v>
      </c>
      <c r="J116" s="135" t="s">
        <v>275</v>
      </c>
      <c r="K116" s="134">
        <f>IF(ESF!F26&gt;0,ESF!F26,ESF!F26*-1)</f>
        <v>22847106.5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2022</v>
      </c>
      <c r="C2" s="9">
        <v>2021</v>
      </c>
    </row>
    <row r="3" spans="1:4" s="12" customFormat="1" x14ac:dyDescent="0.25">
      <c r="A3" s="10" t="s">
        <v>102</v>
      </c>
      <c r="B3" s="11"/>
      <c r="C3" s="11"/>
    </row>
    <row r="4" spans="1:4" x14ac:dyDescent="0.25">
      <c r="A4" s="13" t="s">
        <v>103</v>
      </c>
      <c r="B4" s="14">
        <f>SUM(B5:B11)</f>
        <v>59200905.560000002</v>
      </c>
      <c r="C4" s="14">
        <f>SUM(C5:C11)</f>
        <v>56221974.699999996</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1279480.1000000001</v>
      </c>
      <c r="C9" s="16">
        <v>503636.16</v>
      </c>
      <c r="D9" s="17">
        <v>4150</v>
      </c>
    </row>
    <row r="10" spans="1:4" x14ac:dyDescent="0.2">
      <c r="A10" s="15" t="s">
        <v>109</v>
      </c>
      <c r="B10" s="16">
        <v>0</v>
      </c>
      <c r="C10" s="16">
        <v>0</v>
      </c>
      <c r="D10" s="17">
        <v>4160</v>
      </c>
    </row>
    <row r="11" spans="1:4" ht="11.25" customHeight="1" x14ac:dyDescent="0.2">
      <c r="A11" s="15" t="s">
        <v>110</v>
      </c>
      <c r="B11" s="16">
        <v>57921425.460000001</v>
      </c>
      <c r="C11" s="16">
        <v>55718338.539999999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871358</v>
      </c>
      <c r="C17" s="14">
        <f>SUM(C18:C22)</f>
        <v>22847106.5</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871358</v>
      </c>
      <c r="C22" s="16">
        <v>22847106.5</v>
      </c>
      <c r="D22" s="17">
        <v>4390</v>
      </c>
    </row>
    <row r="23" spans="1:5" ht="11.25" customHeight="1" x14ac:dyDescent="0.25">
      <c r="A23" s="18"/>
      <c r="B23" s="11"/>
      <c r="C23" s="11"/>
      <c r="D23" s="12"/>
    </row>
    <row r="24" spans="1:5" ht="11.25" customHeight="1" x14ac:dyDescent="0.25">
      <c r="A24" s="10" t="s">
        <v>120</v>
      </c>
      <c r="B24" s="14">
        <f>SUM(B4+B13+B17)</f>
        <v>60072263.560000002</v>
      </c>
      <c r="C24" s="19">
        <f>SUM(C4+C13+C17)</f>
        <v>79069081.199999988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49612695.539999999</v>
      </c>
      <c r="C27" s="14">
        <f>SUM(C28:C30)</f>
        <v>44847778.229999997</v>
      </c>
      <c r="D27" s="12"/>
    </row>
    <row r="28" spans="1:5" ht="11.25" customHeight="1" x14ac:dyDescent="0.2">
      <c r="A28" s="15" t="s">
        <v>123</v>
      </c>
      <c r="B28" s="16">
        <v>25759193.48</v>
      </c>
      <c r="C28" s="16">
        <v>23276785.43</v>
      </c>
      <c r="D28" s="17">
        <v>5110</v>
      </c>
    </row>
    <row r="29" spans="1:5" ht="11.25" customHeight="1" x14ac:dyDescent="0.2">
      <c r="A29" s="15" t="s">
        <v>124</v>
      </c>
      <c r="B29" s="16">
        <v>7464239.4199999999</v>
      </c>
      <c r="C29" s="16">
        <v>6745827.0800000001</v>
      </c>
      <c r="D29" s="17">
        <v>5120</v>
      </c>
    </row>
    <row r="30" spans="1:5" ht="11.25" customHeight="1" x14ac:dyDescent="0.2">
      <c r="A30" s="15" t="s">
        <v>125</v>
      </c>
      <c r="B30" s="16">
        <v>16389262.640000001</v>
      </c>
      <c r="C30" s="16">
        <v>14825165.720000001</v>
      </c>
      <c r="D30" s="17">
        <v>5130</v>
      </c>
    </row>
    <row r="31" spans="1:5" ht="11.25" customHeight="1" x14ac:dyDescent="0.25">
      <c r="A31" s="15"/>
      <c r="B31" s="11"/>
      <c r="C31" s="11"/>
      <c r="D31" s="12"/>
    </row>
    <row r="32" spans="1:5" ht="11.25" customHeight="1" x14ac:dyDescent="0.25">
      <c r="A32" s="13" t="s">
        <v>126</v>
      </c>
      <c r="B32" s="14">
        <f>SUM(B33:B41)</f>
        <v>225000</v>
      </c>
      <c r="C32" s="14">
        <f>SUM(C33:C41)</f>
        <v>22847106.5</v>
      </c>
      <c r="D32" s="12"/>
    </row>
    <row r="33" spans="1:4" ht="11.25" customHeight="1" x14ac:dyDescent="0.2">
      <c r="A33" s="15" t="s">
        <v>127</v>
      </c>
      <c r="B33" s="16">
        <v>0</v>
      </c>
      <c r="C33" s="16">
        <v>0</v>
      </c>
      <c r="D33" s="17">
        <v>5210</v>
      </c>
    </row>
    <row r="34" spans="1:4" ht="11.25" customHeight="1" x14ac:dyDescent="0.2">
      <c r="A34" s="15" t="s">
        <v>128</v>
      </c>
      <c r="B34" s="16">
        <v>225000</v>
      </c>
      <c r="C34" s="16">
        <v>22847106.5</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2380333.02</v>
      </c>
      <c r="C55" s="14">
        <f>SUM(C56:C61)</f>
        <v>2308871.09</v>
      </c>
      <c r="D55" s="12"/>
    </row>
    <row r="56" spans="1:4" ht="11.25" customHeight="1" x14ac:dyDescent="0.2">
      <c r="A56" s="15" t="s">
        <v>147</v>
      </c>
      <c r="B56" s="16">
        <v>2380333.02</v>
      </c>
      <c r="C56" s="16">
        <v>2308871.09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52218028.560000002</v>
      </c>
      <c r="C66" s="19">
        <f>C63+C55+C48+C43+C32+C27</f>
        <v>70003755.819999993</v>
      </c>
      <c r="D66" s="12"/>
      <c r="E66" s="12"/>
    </row>
    <row r="67" spans="1:8" ht="11.25" customHeight="1" x14ac:dyDescent="0.25">
      <c r="A67" s="20"/>
      <c r="B67" s="11"/>
      <c r="C67" s="11"/>
      <c r="D67" s="12"/>
      <c r="E67" s="12"/>
    </row>
    <row r="68" spans="1:8" s="12" customFormat="1" x14ac:dyDescent="0.25">
      <c r="A68" s="10" t="s">
        <v>156</v>
      </c>
      <c r="B68" s="14">
        <f>B24-B66</f>
        <v>7854235</v>
      </c>
      <c r="C68" s="14">
        <f>C24-C66</f>
        <v>9065325.3799999952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2022</v>
      </c>
      <c r="C2" s="25">
        <v>2021</v>
      </c>
      <c r="D2" s="25" t="s">
        <v>100</v>
      </c>
      <c r="E2" s="25">
        <v>2022</v>
      </c>
      <c r="F2" s="25">
        <v>2021</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27605198.640000001</v>
      </c>
      <c r="C5" s="28">
        <v>22557065.66</v>
      </c>
      <c r="D5" s="15" t="s">
        <v>163</v>
      </c>
      <c r="E5" s="28">
        <v>23540429.219999999</v>
      </c>
      <c r="F5" s="29">
        <v>22774452.100000001</v>
      </c>
    </row>
    <row r="6" spans="1:6" x14ac:dyDescent="0.25">
      <c r="A6" s="15" t="s">
        <v>164</v>
      </c>
      <c r="B6" s="28">
        <v>33739556.880000003</v>
      </c>
      <c r="C6" s="28">
        <v>32521011.870000001</v>
      </c>
      <c r="D6" s="15" t="s">
        <v>165</v>
      </c>
      <c r="E6" s="28">
        <v>0</v>
      </c>
      <c r="F6" s="29">
        <v>0</v>
      </c>
    </row>
    <row r="7" spans="1:6" x14ac:dyDescent="0.25">
      <c r="A7" s="15" t="s">
        <v>166</v>
      </c>
      <c r="B7" s="28">
        <v>103981.72</v>
      </c>
      <c r="C7" s="28">
        <v>88741.72</v>
      </c>
      <c r="D7" s="15" t="s">
        <v>167</v>
      </c>
      <c r="E7" s="28">
        <v>0</v>
      </c>
      <c r="F7" s="29">
        <v>0</v>
      </c>
    </row>
    <row r="8" spans="1:6" x14ac:dyDescent="0.25">
      <c r="A8" s="15" t="s">
        <v>168</v>
      </c>
      <c r="B8" s="28">
        <v>0</v>
      </c>
      <c r="C8" s="28">
        <v>0</v>
      </c>
      <c r="D8" s="15" t="s">
        <v>169</v>
      </c>
      <c r="E8" s="28">
        <v>0</v>
      </c>
      <c r="F8" s="29">
        <v>0</v>
      </c>
    </row>
    <row r="9" spans="1:6" x14ac:dyDescent="0.25">
      <c r="A9" s="15" t="s">
        <v>170</v>
      </c>
      <c r="B9" s="28">
        <v>1227012.3999999999</v>
      </c>
      <c r="C9" s="28">
        <v>705169.92000000004</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62675749.640000001</v>
      </c>
      <c r="C13" s="30">
        <f>SUM(C5:C11)</f>
        <v>55871989.170000002</v>
      </c>
      <c r="D13" s="18"/>
      <c r="E13" s="31"/>
      <c r="F13" s="32"/>
    </row>
    <row r="14" spans="1:6" x14ac:dyDescent="0.25">
      <c r="A14" s="20"/>
      <c r="B14" s="26"/>
      <c r="C14" s="26"/>
      <c r="D14" s="13" t="s">
        <v>178</v>
      </c>
      <c r="E14" s="14">
        <f>SUM(E5:E12)</f>
        <v>23540429.219999999</v>
      </c>
      <c r="F14" s="19">
        <f>SUM(F5:F12)</f>
        <v>22774452.100000001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44544128.259999998</v>
      </c>
      <c r="C18" s="28">
        <v>44544128.259999998</v>
      </c>
      <c r="D18" s="15" t="s">
        <v>185</v>
      </c>
      <c r="E18" s="28">
        <v>0</v>
      </c>
      <c r="F18" s="29">
        <v>0</v>
      </c>
    </row>
    <row r="19" spans="1:6" x14ac:dyDescent="0.25">
      <c r="A19" s="15" t="s">
        <v>186</v>
      </c>
      <c r="B19" s="28">
        <v>32393667.48</v>
      </c>
      <c r="C19" s="28">
        <v>31289738.940000001</v>
      </c>
      <c r="D19" s="15" t="s">
        <v>187</v>
      </c>
      <c r="E19" s="28">
        <v>0</v>
      </c>
      <c r="F19" s="29">
        <v>0</v>
      </c>
    </row>
    <row r="20" spans="1:6" x14ac:dyDescent="0.25">
      <c r="A20" s="15" t="s">
        <v>188</v>
      </c>
      <c r="B20" s="28">
        <v>3516386.89</v>
      </c>
      <c r="C20" s="28">
        <v>994535.94</v>
      </c>
      <c r="D20" s="15" t="s">
        <v>189</v>
      </c>
      <c r="E20" s="28">
        <v>0</v>
      </c>
      <c r="F20" s="29">
        <v>0</v>
      </c>
    </row>
    <row r="21" spans="1:6" ht="22.5" x14ac:dyDescent="0.25">
      <c r="A21" s="15" t="s">
        <v>190</v>
      </c>
      <c r="B21" s="28">
        <v>-8775535.6500000004</v>
      </c>
      <c r="C21" s="28">
        <v>-6395202.6299999999</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75422913.699999988</v>
      </c>
      <c r="C26" s="30">
        <f>SUM(C16:C24)</f>
        <v>74177467.230000004</v>
      </c>
      <c r="D26" s="33" t="s">
        <v>198</v>
      </c>
      <c r="E26" s="30">
        <f>SUM(E24+E14)</f>
        <v>23613083.619999997</v>
      </c>
      <c r="F26" s="19">
        <f>SUM(F14+F24)</f>
        <v>22847106.5</v>
      </c>
    </row>
    <row r="27" spans="1:6" x14ac:dyDescent="0.25">
      <c r="A27" s="20"/>
      <c r="B27" s="26"/>
      <c r="C27" s="26"/>
      <c r="D27" s="20"/>
      <c r="E27" s="26"/>
      <c r="F27" s="32"/>
    </row>
    <row r="28" spans="1:6" x14ac:dyDescent="0.25">
      <c r="A28" s="13" t="s">
        <v>199</v>
      </c>
      <c r="B28" s="30">
        <f>B13+B26</f>
        <v>138098663.33999997</v>
      </c>
      <c r="C28" s="30">
        <f>C13+C26</f>
        <v>130049456.40000001</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-25317105.52</v>
      </c>
      <c r="F35" s="19">
        <f>SUM(F36:F40)</f>
        <v>-32600335.339999996</v>
      </c>
    </row>
    <row r="36" spans="1:6" x14ac:dyDescent="0.25">
      <c r="A36" s="37"/>
      <c r="B36" s="35"/>
      <c r="C36" s="36"/>
      <c r="D36" s="15" t="s">
        <v>205</v>
      </c>
      <c r="E36" s="28">
        <v>7854235</v>
      </c>
      <c r="F36" s="29">
        <v>9065325.3800000008</v>
      </c>
    </row>
    <row r="37" spans="1:6" x14ac:dyDescent="0.25">
      <c r="A37" s="37"/>
      <c r="B37" s="35"/>
      <c r="C37" s="36"/>
      <c r="D37" s="15" t="s">
        <v>206</v>
      </c>
      <c r="E37" s="28">
        <v>-33171340.52</v>
      </c>
      <c r="F37" s="29">
        <v>-41665660.719999999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114485579.72000001</v>
      </c>
      <c r="F46" s="19">
        <f>SUM(F42+F35+F30)</f>
        <v>107202349.90000001</v>
      </c>
    </row>
    <row r="47" spans="1:6" x14ac:dyDescent="0.25">
      <c r="A47" s="34"/>
      <c r="B47" s="35"/>
      <c r="C47" s="36"/>
      <c r="D47" s="20"/>
      <c r="E47" s="26"/>
      <c r="F47" s="32"/>
    </row>
    <row r="48" spans="1:6" x14ac:dyDescent="0.25">
      <c r="A48" s="34"/>
      <c r="B48" s="35"/>
      <c r="C48" s="36"/>
      <c r="D48" s="13" t="s">
        <v>214</v>
      </c>
      <c r="E48" s="30">
        <f>E46+E26</f>
        <v>138098663.34</v>
      </c>
      <c r="F48" s="30">
        <f>F46+F26</f>
        <v>130049456.40000001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-41665660.719999999</v>
      </c>
      <c r="D9" s="48">
        <f>D10</f>
        <v>9065325.3800000008</v>
      </c>
      <c r="E9" s="46"/>
      <c r="F9" s="48">
        <f t="shared" ref="F9:F14" si="0">SUM(B9:E9)</f>
        <v>-32600335.339999996</v>
      </c>
    </row>
    <row r="10" spans="1:6" ht="11.25" customHeight="1" x14ac:dyDescent="0.2">
      <c r="A10" s="49" t="s">
        <v>156</v>
      </c>
      <c r="B10" s="46"/>
      <c r="C10" s="46"/>
      <c r="D10" s="50">
        <v>9065325.3800000008</v>
      </c>
      <c r="E10" s="46"/>
      <c r="F10" s="48">
        <f t="shared" si="0"/>
        <v>9065325.3800000008</v>
      </c>
    </row>
    <row r="11" spans="1:6" ht="11.25" customHeight="1" x14ac:dyDescent="0.2">
      <c r="A11" s="49" t="s">
        <v>206</v>
      </c>
      <c r="B11" s="46"/>
      <c r="C11" s="50">
        <v>-41665660.719999999</v>
      </c>
      <c r="D11" s="46"/>
      <c r="E11" s="46"/>
      <c r="F11" s="48">
        <f t="shared" si="0"/>
        <v>-41665660.719999999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-41665660.719999999</v>
      </c>
      <c r="D20" s="48">
        <f>D9</f>
        <v>9065325.3800000008</v>
      </c>
      <c r="E20" s="48">
        <f>E16</f>
        <v>0</v>
      </c>
      <c r="F20" s="48">
        <f>SUM(B20:E20)</f>
        <v>107202349.90000001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8494320.1999999993</v>
      </c>
      <c r="D27" s="48">
        <f>SUM(D28:D32)</f>
        <v>-1211090.3800000008</v>
      </c>
      <c r="E27" s="46"/>
      <c r="F27" s="48">
        <f t="shared" ref="F27:F32" si="1">SUM(B27:E27)</f>
        <v>7283229.8199999984</v>
      </c>
    </row>
    <row r="28" spans="1:6" ht="11.25" customHeight="1" x14ac:dyDescent="0.2">
      <c r="A28" s="49" t="s">
        <v>156</v>
      </c>
      <c r="B28" s="46"/>
      <c r="C28" s="46"/>
      <c r="D28" s="50">
        <v>7854235</v>
      </c>
      <c r="E28" s="46"/>
      <c r="F28" s="48">
        <f t="shared" si="1"/>
        <v>7854235</v>
      </c>
    </row>
    <row r="29" spans="1:6" ht="11.25" customHeight="1" x14ac:dyDescent="0.2">
      <c r="A29" s="49" t="s">
        <v>206</v>
      </c>
      <c r="B29" s="46"/>
      <c r="C29" s="50">
        <v>8494320.1999999993</v>
      </c>
      <c r="D29" s="50">
        <v>-9065325.3800000008</v>
      </c>
      <c r="E29" s="46"/>
      <c r="F29" s="48">
        <f t="shared" si="1"/>
        <v>-571005.18000000156</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-33171340.52</v>
      </c>
      <c r="D38" s="54">
        <f>D20+D27</f>
        <v>7854235</v>
      </c>
      <c r="E38" s="54">
        <f>+E20+E34</f>
        <v>0</v>
      </c>
      <c r="F38" s="54">
        <f>SUM(B38:E38)</f>
        <v>114485579.72000001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2380333.02</v>
      </c>
      <c r="C3" s="61">
        <f>C4+C13</f>
        <v>10429539.960000001</v>
      </c>
    </row>
    <row r="4" spans="1:3" ht="11.25" customHeight="1" x14ac:dyDescent="0.25">
      <c r="A4" s="62" t="s">
        <v>160</v>
      </c>
      <c r="B4" s="61">
        <f>SUM(B5:B11)</f>
        <v>0</v>
      </c>
      <c r="C4" s="61">
        <f>SUM(C5:C11)</f>
        <v>6803760.4700000007</v>
      </c>
    </row>
    <row r="5" spans="1:3" ht="11.25" customHeight="1" x14ac:dyDescent="0.25">
      <c r="A5" s="63" t="s">
        <v>162</v>
      </c>
      <c r="B5" s="64">
        <v>0</v>
      </c>
      <c r="C5" s="64">
        <v>5048132.9800000004</v>
      </c>
    </row>
    <row r="6" spans="1:3" ht="11.25" customHeight="1" x14ac:dyDescent="0.25">
      <c r="A6" s="63" t="s">
        <v>164</v>
      </c>
      <c r="B6" s="64">
        <v>0</v>
      </c>
      <c r="C6" s="64">
        <v>1218545.01</v>
      </c>
    </row>
    <row r="7" spans="1:3" ht="11.25" customHeight="1" x14ac:dyDescent="0.25">
      <c r="A7" s="63" t="s">
        <v>166</v>
      </c>
      <c r="B7" s="64">
        <v>0</v>
      </c>
      <c r="C7" s="64">
        <v>15240</v>
      </c>
    </row>
    <row r="8" spans="1:3" ht="11.25" customHeight="1" x14ac:dyDescent="0.25">
      <c r="A8" s="63" t="s">
        <v>168</v>
      </c>
      <c r="B8" s="64">
        <v>0</v>
      </c>
      <c r="C8" s="64">
        <v>0</v>
      </c>
    </row>
    <row r="9" spans="1:3" ht="11.25" customHeight="1" x14ac:dyDescent="0.25">
      <c r="A9" s="63" t="s">
        <v>170</v>
      </c>
      <c r="B9" s="64">
        <v>0</v>
      </c>
      <c r="C9" s="64">
        <v>521842.48</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2380333.02</v>
      </c>
      <c r="C13" s="61">
        <f>SUM(C14:C22)</f>
        <v>3625779.49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1103928.54</v>
      </c>
    </row>
    <row r="18" spans="1:3" ht="11.25" customHeight="1" x14ac:dyDescent="0.25">
      <c r="A18" s="63" t="s">
        <v>188</v>
      </c>
      <c r="B18" s="64">
        <v>0</v>
      </c>
      <c r="C18" s="64">
        <v>2521850.9500000002</v>
      </c>
    </row>
    <row r="19" spans="1:3" ht="11.25" customHeight="1" x14ac:dyDescent="0.25">
      <c r="A19" s="63" t="s">
        <v>190</v>
      </c>
      <c r="B19" s="64">
        <v>2380333.02</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765977.12</v>
      </c>
      <c r="C24" s="61">
        <f>C25+C35</f>
        <v>0</v>
      </c>
    </row>
    <row r="25" spans="1:3" ht="11.25" customHeight="1" x14ac:dyDescent="0.25">
      <c r="A25" s="62" t="s">
        <v>161</v>
      </c>
      <c r="B25" s="61">
        <f>SUM(B26:B33)</f>
        <v>765977.12</v>
      </c>
      <c r="C25" s="61">
        <f>SUM(C26:C33)</f>
        <v>0</v>
      </c>
    </row>
    <row r="26" spans="1:3" ht="11.25" customHeight="1" x14ac:dyDescent="0.25">
      <c r="A26" s="63" t="s">
        <v>163</v>
      </c>
      <c r="B26" s="64">
        <v>765977.12</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8494320.1999999993</v>
      </c>
      <c r="C43" s="61">
        <f>C45+C50+C57</f>
        <v>1211090.3799999999</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8494320.1999999993</v>
      </c>
      <c r="C50" s="61">
        <f>SUM(C51:C55)</f>
        <v>1211090.3799999999</v>
      </c>
    </row>
    <row r="51" spans="1:3" ht="11.25" customHeight="1" x14ac:dyDescent="0.25">
      <c r="A51" s="63" t="s">
        <v>205</v>
      </c>
      <c r="B51" s="64">
        <v>0</v>
      </c>
      <c r="C51" s="64">
        <v>1211090.3799999999</v>
      </c>
    </row>
    <row r="52" spans="1:3" ht="11.25" customHeight="1" x14ac:dyDescent="0.25">
      <c r="A52" s="63" t="s">
        <v>206</v>
      </c>
      <c r="B52" s="64">
        <v>8494320.1999999993</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2022</v>
      </c>
      <c r="C2" s="43">
        <v>2021</v>
      </c>
      <c r="V2" s="68" t="s">
        <v>101</v>
      </c>
    </row>
    <row r="3" spans="1:22" ht="11.25" customHeight="1" x14ac:dyDescent="0.2">
      <c r="A3" s="60" t="s">
        <v>222</v>
      </c>
      <c r="B3" s="70"/>
      <c r="C3" s="70"/>
    </row>
    <row r="4" spans="1:22" ht="11.25" customHeight="1" x14ac:dyDescent="0.2">
      <c r="A4" s="62" t="s">
        <v>220</v>
      </c>
      <c r="B4" s="71">
        <f>SUM(B5:B14)</f>
        <v>60120208.560000002</v>
      </c>
      <c r="C4" s="71">
        <f>SUM(C5:C14)</f>
        <v>56221974.699999996</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1279480.1000000001</v>
      </c>
      <c r="C9" s="73">
        <v>503636.16</v>
      </c>
      <c r="D9" s="74">
        <v>500000</v>
      </c>
    </row>
    <row r="10" spans="1:22" ht="11.25" customHeight="1" x14ac:dyDescent="0.2">
      <c r="A10" s="63" t="s">
        <v>109</v>
      </c>
      <c r="B10" s="73">
        <v>0</v>
      </c>
      <c r="C10" s="73">
        <v>0</v>
      </c>
      <c r="D10" s="74">
        <v>600000</v>
      </c>
    </row>
    <row r="11" spans="1:22" ht="11.25" customHeight="1" x14ac:dyDescent="0.2">
      <c r="A11" s="63" t="s">
        <v>110</v>
      </c>
      <c r="B11" s="73">
        <v>57969370.460000001</v>
      </c>
      <c r="C11" s="73">
        <v>55718338.539999999</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871358</v>
      </c>
      <c r="C14" s="73">
        <v>0</v>
      </c>
      <c r="D14" s="72" t="s">
        <v>225</v>
      </c>
    </row>
    <row r="15" spans="1:22" ht="11.25" customHeight="1" x14ac:dyDescent="0.2">
      <c r="A15" s="65"/>
      <c r="B15" s="38"/>
      <c r="C15" s="38"/>
      <c r="D15" s="72" t="s">
        <v>223</v>
      </c>
    </row>
    <row r="16" spans="1:22" ht="11.25" customHeight="1" x14ac:dyDescent="0.2">
      <c r="A16" s="62" t="s">
        <v>221</v>
      </c>
      <c r="B16" s="71">
        <f>SUM(B17:B32)</f>
        <v>50256822.090000004</v>
      </c>
      <c r="C16" s="71">
        <f>SUM(C17:C32)</f>
        <v>45041064.520000003</v>
      </c>
      <c r="D16" s="72" t="s">
        <v>223</v>
      </c>
    </row>
    <row r="17" spans="1:4" ht="11.25" customHeight="1" x14ac:dyDescent="0.2">
      <c r="A17" s="63" t="s">
        <v>123</v>
      </c>
      <c r="B17" s="73">
        <v>25759193.48</v>
      </c>
      <c r="C17" s="73">
        <v>23276785.43</v>
      </c>
      <c r="D17" s="74">
        <v>1000</v>
      </c>
    </row>
    <row r="18" spans="1:4" ht="11.25" customHeight="1" x14ac:dyDescent="0.2">
      <c r="A18" s="63" t="s">
        <v>124</v>
      </c>
      <c r="B18" s="73">
        <v>7905615.2300000004</v>
      </c>
      <c r="C18" s="73">
        <v>6972441.3700000001</v>
      </c>
      <c r="D18" s="74">
        <v>2000</v>
      </c>
    </row>
    <row r="19" spans="1:4" ht="11.25" customHeight="1" x14ac:dyDescent="0.2">
      <c r="A19" s="63" t="s">
        <v>125</v>
      </c>
      <c r="B19" s="73">
        <v>16367013.380000001</v>
      </c>
      <c r="C19" s="73">
        <v>14791837.720000001</v>
      </c>
      <c r="D19" s="74">
        <v>3000</v>
      </c>
    </row>
    <row r="20" spans="1:4" ht="11.25" customHeight="1" x14ac:dyDescent="0.2">
      <c r="A20" s="63" t="s">
        <v>127</v>
      </c>
      <c r="B20" s="73">
        <v>0</v>
      </c>
      <c r="C20" s="73">
        <v>0</v>
      </c>
      <c r="D20" s="74">
        <v>4100</v>
      </c>
    </row>
    <row r="21" spans="1:4" ht="11.25" customHeight="1" x14ac:dyDescent="0.2">
      <c r="A21" s="63" t="s">
        <v>226</v>
      </c>
      <c r="B21" s="73">
        <v>225000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9863386.4699999988</v>
      </c>
      <c r="C33" s="71">
        <f>C4-C16</f>
        <v>11180910.179999992</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4136650.34</v>
      </c>
      <c r="C41" s="71">
        <f>SUM(C42:C44)</f>
        <v>6782592.9700000007</v>
      </c>
      <c r="D41" s="72" t="s">
        <v>223</v>
      </c>
    </row>
    <row r="42" spans="1:4" ht="11.25" customHeight="1" x14ac:dyDescent="0.2">
      <c r="A42" s="63" t="s">
        <v>184</v>
      </c>
      <c r="B42" s="73">
        <v>0</v>
      </c>
      <c r="C42" s="73">
        <v>6074963.4100000001</v>
      </c>
      <c r="D42" s="72">
        <v>6000</v>
      </c>
    </row>
    <row r="43" spans="1:4" ht="11.25" customHeight="1" x14ac:dyDescent="0.2">
      <c r="A43" s="63" t="s">
        <v>186</v>
      </c>
      <c r="B43" s="73">
        <v>4136650.34</v>
      </c>
      <c r="C43" s="73">
        <v>707629.56</v>
      </c>
      <c r="D43" s="72">
        <v>5000</v>
      </c>
    </row>
    <row r="44" spans="1:4" ht="11.25" customHeight="1" x14ac:dyDescent="0.2">
      <c r="A44" s="63" t="s">
        <v>231</v>
      </c>
      <c r="B44" s="73">
        <v>0</v>
      </c>
      <c r="C44" s="73">
        <v>0</v>
      </c>
      <c r="D44" s="72">
        <v>7000</v>
      </c>
    </row>
    <row r="45" spans="1:4" ht="11.25" customHeight="1" x14ac:dyDescent="0.2">
      <c r="A45" s="60" t="s">
        <v>232</v>
      </c>
      <c r="B45" s="71">
        <f>B36-B41</f>
        <v>-4136650.34</v>
      </c>
      <c r="C45" s="71">
        <f>C36-C41</f>
        <v>-6782592.9700000007</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745115.14</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745115.14</v>
      </c>
      <c r="D52" s="76" t="s">
        <v>240</v>
      </c>
    </row>
    <row r="53" spans="1:4" ht="11.25" customHeight="1" x14ac:dyDescent="0.2">
      <c r="A53" s="65"/>
      <c r="B53" s="38"/>
      <c r="C53" s="38"/>
      <c r="D53" s="72" t="s">
        <v>223</v>
      </c>
    </row>
    <row r="54" spans="1:4" ht="11.25" customHeight="1" x14ac:dyDescent="0.2">
      <c r="A54" s="62" t="s">
        <v>221</v>
      </c>
      <c r="B54" s="71">
        <f>SUM(B55+B58)</f>
        <v>678603.15</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678603.15</v>
      </c>
      <c r="C58" s="73">
        <v>0</v>
      </c>
      <c r="D58" s="72" t="s">
        <v>223</v>
      </c>
    </row>
    <row r="59" spans="1:4" ht="11.25" customHeight="1" x14ac:dyDescent="0.2">
      <c r="A59" s="60" t="s">
        <v>245</v>
      </c>
      <c r="B59" s="71">
        <f>B48-B54</f>
        <v>-678603.15</v>
      </c>
      <c r="C59" s="71">
        <f>C48-C54</f>
        <v>745115.14</v>
      </c>
      <c r="D59" s="72" t="s">
        <v>223</v>
      </c>
    </row>
    <row r="60" spans="1:4" ht="11.25" customHeight="1" x14ac:dyDescent="0.2">
      <c r="A60" s="75"/>
      <c r="B60" s="38"/>
      <c r="C60" s="38"/>
      <c r="D60" s="72" t="s">
        <v>223</v>
      </c>
    </row>
    <row r="61" spans="1:4" ht="11.25" customHeight="1" x14ac:dyDescent="0.2">
      <c r="A61" s="60" t="s">
        <v>246</v>
      </c>
      <c r="B61" s="71">
        <f>B59+B45+B33</f>
        <v>5048132.9799999986</v>
      </c>
      <c r="C61" s="71">
        <f>C59+C45+C33</f>
        <v>5143432.3499999912</v>
      </c>
      <c r="D61" s="72" t="s">
        <v>223</v>
      </c>
    </row>
    <row r="62" spans="1:4" ht="11.25" customHeight="1" x14ac:dyDescent="0.2">
      <c r="A62" s="75"/>
      <c r="B62" s="38"/>
      <c r="C62" s="38"/>
      <c r="D62" s="72" t="s">
        <v>223</v>
      </c>
    </row>
    <row r="63" spans="1:4" ht="11.25" customHeight="1" x14ac:dyDescent="0.2">
      <c r="A63" s="60" t="s">
        <v>247</v>
      </c>
      <c r="B63" s="71">
        <v>22557065.66</v>
      </c>
      <c r="C63" s="71">
        <v>17413633.309999999</v>
      </c>
      <c r="D63" s="72" t="s">
        <v>223</v>
      </c>
    </row>
    <row r="64" spans="1:4" ht="11.25" customHeight="1" x14ac:dyDescent="0.2">
      <c r="A64" s="75"/>
      <c r="B64" s="38"/>
      <c r="C64" s="38"/>
      <c r="D64" s="72" t="s">
        <v>223</v>
      </c>
    </row>
    <row r="65" spans="1:4" ht="11.25" customHeight="1" x14ac:dyDescent="0.2">
      <c r="A65" s="60" t="s">
        <v>248</v>
      </c>
      <c r="B65" s="71">
        <v>27605198.640000001</v>
      </c>
      <c r="C65" s="71">
        <v>22557065.66</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130049456.40000001</v>
      </c>
      <c r="C3" s="71">
        <f t="shared" ref="C3:F3" si="0">C4+C12</f>
        <v>154170912.56</v>
      </c>
      <c r="D3" s="71">
        <f t="shared" si="0"/>
        <v>146121705.62000003</v>
      </c>
      <c r="E3" s="71">
        <f t="shared" si="0"/>
        <v>138098663.33999997</v>
      </c>
      <c r="F3" s="71">
        <f t="shared" si="0"/>
        <v>8049206.939999979</v>
      </c>
    </row>
    <row r="4" spans="1:6" x14ac:dyDescent="0.2">
      <c r="A4" s="82" t="s">
        <v>160</v>
      </c>
      <c r="B4" s="71">
        <f>SUM(B5:B11)</f>
        <v>55871989.170000002</v>
      </c>
      <c r="C4" s="71">
        <f>SUM(C5:C11)</f>
        <v>149700436.31999999</v>
      </c>
      <c r="D4" s="71">
        <f>SUM(D5:D11)</f>
        <v>142896675.85000002</v>
      </c>
      <c r="E4" s="71">
        <f>SUM(E5:E11)</f>
        <v>62675749.639999978</v>
      </c>
      <c r="F4" s="71">
        <f>SUM(F5:F11)</f>
        <v>6803760.4699999802</v>
      </c>
    </row>
    <row r="5" spans="1:6" x14ac:dyDescent="0.2">
      <c r="A5" s="83" t="s">
        <v>162</v>
      </c>
      <c r="B5" s="73">
        <v>22557065.66</v>
      </c>
      <c r="C5" s="73">
        <v>73833561.489999995</v>
      </c>
      <c r="D5" s="73">
        <v>68785428.510000005</v>
      </c>
      <c r="E5" s="73">
        <f>B5+C5-D5</f>
        <v>27605198.639999986</v>
      </c>
      <c r="F5" s="73">
        <f t="shared" ref="F5:F11" si="1">E5-B5</f>
        <v>5048132.9799999855</v>
      </c>
    </row>
    <row r="6" spans="1:6" x14ac:dyDescent="0.2">
      <c r="A6" s="83" t="s">
        <v>164</v>
      </c>
      <c r="B6" s="73">
        <v>32521011.870000001</v>
      </c>
      <c r="C6" s="73">
        <v>71944159.209999993</v>
      </c>
      <c r="D6" s="73">
        <v>70725614.200000003</v>
      </c>
      <c r="E6" s="73">
        <f t="shared" ref="E6:E11" si="2">B6+C6-D6</f>
        <v>33739556.879999995</v>
      </c>
      <c r="F6" s="73">
        <f t="shared" si="1"/>
        <v>1218545.0099999942</v>
      </c>
    </row>
    <row r="7" spans="1:6" x14ac:dyDescent="0.2">
      <c r="A7" s="83" t="s">
        <v>166</v>
      </c>
      <c r="B7" s="73">
        <v>88741.72</v>
      </c>
      <c r="C7" s="73">
        <v>91797.02</v>
      </c>
      <c r="D7" s="73">
        <v>76557.02</v>
      </c>
      <c r="E7" s="73">
        <f t="shared" si="2"/>
        <v>103981.71999999999</v>
      </c>
      <c r="F7" s="73">
        <f t="shared" si="1"/>
        <v>15239.999999999985</v>
      </c>
    </row>
    <row r="8" spans="1:6" x14ac:dyDescent="0.2">
      <c r="A8" s="83" t="s">
        <v>168</v>
      </c>
      <c r="B8" s="73">
        <v>0</v>
      </c>
      <c r="C8" s="73">
        <v>0</v>
      </c>
      <c r="D8" s="73">
        <v>0</v>
      </c>
      <c r="E8" s="73">
        <f t="shared" si="2"/>
        <v>0</v>
      </c>
      <c r="F8" s="73">
        <f t="shared" si="1"/>
        <v>0</v>
      </c>
    </row>
    <row r="9" spans="1:6" x14ac:dyDescent="0.2">
      <c r="A9" s="83" t="s">
        <v>170</v>
      </c>
      <c r="B9" s="73">
        <v>705169.92000000004</v>
      </c>
      <c r="C9" s="73">
        <v>3830918.6</v>
      </c>
      <c r="D9" s="73">
        <v>3309076.12</v>
      </c>
      <c r="E9" s="73">
        <f t="shared" si="2"/>
        <v>1227012.4000000004</v>
      </c>
      <c r="F9" s="73">
        <f t="shared" si="1"/>
        <v>521842.48000000033</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74177467.230000004</v>
      </c>
      <c r="C12" s="71">
        <f>SUM(C13:C21)</f>
        <v>4470476.24</v>
      </c>
      <c r="D12" s="71">
        <f>SUM(D13:D21)</f>
        <v>3225029.77</v>
      </c>
      <c r="E12" s="71">
        <f>SUM(E13:E21)</f>
        <v>75422913.699999988</v>
      </c>
      <c r="F12" s="71">
        <f>SUM(F13:F21)</f>
        <v>1245446.4699999988</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44544128.259999998</v>
      </c>
      <c r="C15" s="84">
        <v>0</v>
      </c>
      <c r="D15" s="84">
        <v>0</v>
      </c>
      <c r="E15" s="84">
        <f t="shared" si="4"/>
        <v>44544128.259999998</v>
      </c>
      <c r="F15" s="84">
        <f t="shared" si="3"/>
        <v>0</v>
      </c>
    </row>
    <row r="16" spans="1:6" x14ac:dyDescent="0.2">
      <c r="A16" s="83" t="s">
        <v>186</v>
      </c>
      <c r="B16" s="73">
        <v>31289738.940000001</v>
      </c>
      <c r="C16" s="73">
        <v>1948625.29</v>
      </c>
      <c r="D16" s="73">
        <v>844696.75</v>
      </c>
      <c r="E16" s="73">
        <f t="shared" si="4"/>
        <v>32393667.48</v>
      </c>
      <c r="F16" s="73">
        <f t="shared" si="3"/>
        <v>1103928.5399999991</v>
      </c>
    </row>
    <row r="17" spans="1:6" x14ac:dyDescent="0.2">
      <c r="A17" s="83" t="s">
        <v>188</v>
      </c>
      <c r="B17" s="73">
        <v>994535.94</v>
      </c>
      <c r="C17" s="73">
        <v>2521850.9500000002</v>
      </c>
      <c r="D17" s="73">
        <v>0</v>
      </c>
      <c r="E17" s="73">
        <f t="shared" si="4"/>
        <v>3516386.89</v>
      </c>
      <c r="F17" s="73">
        <f t="shared" si="3"/>
        <v>2521850.9500000002</v>
      </c>
    </row>
    <row r="18" spans="1:6" x14ac:dyDescent="0.2">
      <c r="A18" s="83" t="s">
        <v>190</v>
      </c>
      <c r="B18" s="73">
        <v>-6395202.6299999999</v>
      </c>
      <c r="C18" s="73">
        <v>0</v>
      </c>
      <c r="D18" s="73">
        <v>2380333.02</v>
      </c>
      <c r="E18" s="73">
        <f t="shared" si="4"/>
        <v>-8775535.6500000004</v>
      </c>
      <c r="F18" s="73">
        <f t="shared" si="3"/>
        <v>-2380333.0200000005</v>
      </c>
    </row>
    <row r="19" spans="1:6" x14ac:dyDescent="0.2">
      <c r="A19" s="83" t="s">
        <v>192</v>
      </c>
      <c r="B19" s="73">
        <v>3744266.72</v>
      </c>
      <c r="C19" s="73">
        <v>0</v>
      </c>
      <c r="D19" s="73">
        <v>0</v>
      </c>
      <c r="E19" s="73">
        <f t="shared" si="4"/>
        <v>3744266.72</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22847106.5</v>
      </c>
      <c r="E32" s="71">
        <v>23613083.620000001</v>
      </c>
    </row>
    <row r="33" spans="1:5" ht="11.25" customHeight="1" x14ac:dyDescent="0.2">
      <c r="A33" s="94"/>
      <c r="B33" s="38"/>
      <c r="C33" s="38"/>
      <c r="D33" s="38"/>
      <c r="E33" s="38"/>
    </row>
    <row r="34" spans="1:5" ht="11.25" customHeight="1" x14ac:dyDescent="0.2">
      <c r="A34" s="89" t="s">
        <v>272</v>
      </c>
      <c r="B34" s="38"/>
      <c r="C34" s="38"/>
      <c r="D34" s="71">
        <f>D32+D3</f>
        <v>22847106.5</v>
      </c>
      <c r="E34" s="71">
        <f>E32+E3</f>
        <v>23613083.620000001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2023-02-21T21:49:23Z</dcterms:modified>
</cp:coreProperties>
</file>